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amsys-my.sharepoint.com/personal/clamm_camsys_com/Documents/Documents/D/PROJECTS/170095-007 NYMTC Freight Land Use/"/>
    </mc:Choice>
  </mc:AlternateContent>
  <xr:revisionPtr revIDLastSave="361" documentId="8_{8B2835C4-08C5-43D8-A24F-57938F920556}" xr6:coauthVersionLast="47" xr6:coauthVersionMax="47" xr10:uidLastSave="{2D76A6A8-FC2E-4FE7-B046-DFEA1795B460}"/>
  <bookViews>
    <workbookView minimized="1" xWindow="0" yWindow="2790" windowWidth="19200" windowHeight="11265" activeTab="7" xr2:uid="{99E51E70-C4F2-4C10-9C25-8861C87EE1D2}"/>
  </bookViews>
  <sheets>
    <sheet name="Trends" sheetId="1" r:id="rId1"/>
    <sheet name="Population" sheetId="10" r:id="rId2"/>
    <sheet name="Scenario Development" sheetId="3" r:id="rId3"/>
    <sheet name="1" sheetId="4" r:id="rId4"/>
    <sheet name="3" sheetId="6" r:id="rId5"/>
    <sheet name="5" sheetId="7" r:id="rId6"/>
    <sheet name="6" sheetId="8" r:id="rId7"/>
    <sheet name="9" sheetId="9" r:id="rId8"/>
  </sheets>
  <definedNames>
    <definedName name="_xlnm._FilterDatabase" localSheetId="2" hidden="1">'Scenario Development'!$C$1:$C$10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44" i="4" l="1"/>
  <c r="AV44" i="4"/>
  <c r="S41" i="10"/>
  <c r="T41" i="10"/>
  <c r="U41" i="10"/>
  <c r="V41" i="10"/>
  <c r="W41" i="10"/>
  <c r="X41" i="10"/>
  <c r="S44" i="10"/>
  <c r="T44" i="10"/>
  <c r="U44" i="10"/>
  <c r="V44" i="10"/>
  <c r="W44" i="10"/>
  <c r="X44" i="10"/>
  <c r="S47" i="10"/>
  <c r="T47" i="10"/>
  <c r="U47" i="10"/>
  <c r="V47" i="10"/>
  <c r="W47" i="10"/>
  <c r="X47" i="10"/>
  <c r="C47" i="10"/>
  <c r="D47" i="10"/>
  <c r="E47" i="10"/>
  <c r="F47" i="10"/>
  <c r="G47" i="10"/>
  <c r="H47" i="10"/>
  <c r="I47" i="10"/>
  <c r="K47" i="10"/>
  <c r="L47" i="10"/>
  <c r="M47" i="10"/>
  <c r="N47" i="10"/>
  <c r="O47" i="10"/>
  <c r="P47" i="10"/>
  <c r="B47" i="10"/>
  <c r="X3" i="10"/>
  <c r="X4" i="10"/>
  <c r="X5" i="10"/>
  <c r="X6" i="10"/>
  <c r="X7" i="10"/>
  <c r="X9" i="10"/>
  <c r="X10" i="10"/>
  <c r="X11" i="10"/>
  <c r="X12" i="10"/>
  <c r="X13" i="10"/>
  <c r="X14" i="10"/>
  <c r="X15" i="10"/>
  <c r="X17" i="10"/>
  <c r="X18" i="10"/>
  <c r="X19" i="10"/>
  <c r="X20" i="10"/>
  <c r="X21" i="10"/>
  <c r="X22" i="10"/>
  <c r="X23" i="10"/>
  <c r="X24" i="10"/>
  <c r="X25" i="10"/>
  <c r="X26" i="10"/>
  <c r="X27" i="10"/>
  <c r="X28" i="10"/>
  <c r="X29" i="10"/>
  <c r="X30" i="10"/>
  <c r="X31" i="10"/>
  <c r="X33" i="10"/>
  <c r="X34" i="10"/>
  <c r="X35" i="10"/>
  <c r="X37" i="10"/>
  <c r="X38" i="10"/>
  <c r="X39" i="10"/>
  <c r="X40" i="10"/>
  <c r="X2" i="10"/>
  <c r="W3" i="10"/>
  <c r="W4" i="10"/>
  <c r="W5" i="10"/>
  <c r="W6" i="10"/>
  <c r="W7" i="10"/>
  <c r="W9" i="10"/>
  <c r="W10" i="10"/>
  <c r="W11" i="10"/>
  <c r="W12" i="10"/>
  <c r="W13" i="10"/>
  <c r="W14" i="10"/>
  <c r="W15" i="10"/>
  <c r="W17" i="10"/>
  <c r="W18" i="10"/>
  <c r="W19" i="10"/>
  <c r="W20" i="10"/>
  <c r="W21" i="10"/>
  <c r="W22" i="10"/>
  <c r="W23" i="10"/>
  <c r="W24" i="10"/>
  <c r="W25" i="10"/>
  <c r="W26" i="10"/>
  <c r="W27" i="10"/>
  <c r="W28" i="10"/>
  <c r="W29" i="10"/>
  <c r="W30" i="10"/>
  <c r="W31" i="10"/>
  <c r="W33" i="10"/>
  <c r="W34" i="10"/>
  <c r="W35" i="10"/>
  <c r="W37" i="10"/>
  <c r="W38" i="10"/>
  <c r="W39" i="10"/>
  <c r="W40" i="10"/>
  <c r="W2" i="10"/>
  <c r="V2" i="10"/>
  <c r="V3" i="10"/>
  <c r="V4" i="10"/>
  <c r="V5" i="10"/>
  <c r="V6" i="10"/>
  <c r="V7" i="10"/>
  <c r="V9" i="10"/>
  <c r="V10" i="10"/>
  <c r="V11" i="10"/>
  <c r="V12" i="10"/>
  <c r="V13" i="10"/>
  <c r="V14" i="10"/>
  <c r="V15" i="10"/>
  <c r="V17" i="10"/>
  <c r="V18" i="10"/>
  <c r="V19" i="10"/>
  <c r="V20" i="10"/>
  <c r="V21" i="10"/>
  <c r="V22" i="10"/>
  <c r="V23" i="10"/>
  <c r="V24" i="10"/>
  <c r="V25" i="10"/>
  <c r="V26" i="10"/>
  <c r="V27" i="10"/>
  <c r="V28" i="10"/>
  <c r="V29" i="10"/>
  <c r="V30" i="10"/>
  <c r="V31" i="10"/>
  <c r="V33" i="10"/>
  <c r="V34" i="10"/>
  <c r="V35" i="10"/>
  <c r="V37" i="10"/>
  <c r="V38" i="10"/>
  <c r="V39" i="10"/>
  <c r="V40" i="10"/>
  <c r="T2" i="10"/>
  <c r="U2" i="10"/>
  <c r="T3" i="10"/>
  <c r="U3" i="10"/>
  <c r="T4" i="10"/>
  <c r="U4" i="10"/>
  <c r="T5" i="10"/>
  <c r="U5" i="10"/>
  <c r="T6" i="10"/>
  <c r="U6" i="10"/>
  <c r="T7" i="10"/>
  <c r="U7" i="10"/>
  <c r="T9" i="10"/>
  <c r="U9" i="10"/>
  <c r="T10" i="10"/>
  <c r="U10" i="10"/>
  <c r="T11" i="10"/>
  <c r="U11" i="10"/>
  <c r="T12" i="10"/>
  <c r="U12" i="10"/>
  <c r="T13" i="10"/>
  <c r="U13" i="10"/>
  <c r="T14" i="10"/>
  <c r="U14" i="10"/>
  <c r="T15" i="10"/>
  <c r="U15" i="10"/>
  <c r="T17" i="10"/>
  <c r="U17" i="10"/>
  <c r="T18" i="10"/>
  <c r="U18" i="10"/>
  <c r="T19" i="10"/>
  <c r="U19" i="10"/>
  <c r="T20" i="10"/>
  <c r="U20" i="10"/>
  <c r="T21" i="10"/>
  <c r="U21" i="10"/>
  <c r="T22" i="10"/>
  <c r="U22" i="10"/>
  <c r="T23" i="10"/>
  <c r="U23" i="10"/>
  <c r="T24" i="10"/>
  <c r="U24" i="10"/>
  <c r="T25" i="10"/>
  <c r="U25" i="10"/>
  <c r="T26" i="10"/>
  <c r="U26" i="10"/>
  <c r="T27" i="10"/>
  <c r="U27" i="10"/>
  <c r="T28" i="10"/>
  <c r="U28" i="10"/>
  <c r="T29" i="10"/>
  <c r="U29" i="10"/>
  <c r="T30" i="10"/>
  <c r="U30" i="10"/>
  <c r="T31" i="10"/>
  <c r="U31" i="10"/>
  <c r="T33" i="10"/>
  <c r="U33" i="10"/>
  <c r="T34" i="10"/>
  <c r="U34" i="10"/>
  <c r="T35" i="10"/>
  <c r="U35" i="10"/>
  <c r="T37" i="10"/>
  <c r="U37" i="10"/>
  <c r="T38" i="10"/>
  <c r="U38" i="10"/>
  <c r="T39" i="10"/>
  <c r="U39" i="10"/>
  <c r="T40" i="10"/>
  <c r="U40" i="10"/>
  <c r="S3" i="10"/>
  <c r="S4" i="10"/>
  <c r="S5" i="10"/>
  <c r="S6" i="10"/>
  <c r="S7" i="10"/>
  <c r="S9" i="10"/>
  <c r="S10" i="10"/>
  <c r="S11" i="10"/>
  <c r="S12" i="10"/>
  <c r="S13" i="10"/>
  <c r="S14" i="10"/>
  <c r="S15" i="10"/>
  <c r="S17" i="10"/>
  <c r="S18" i="10"/>
  <c r="S19" i="10"/>
  <c r="S20" i="10"/>
  <c r="S21" i="10"/>
  <c r="S22" i="10"/>
  <c r="S23" i="10"/>
  <c r="S24" i="10"/>
  <c r="S25" i="10"/>
  <c r="S26" i="10"/>
  <c r="S27" i="10"/>
  <c r="S28" i="10"/>
  <c r="S29" i="10"/>
  <c r="S30" i="10"/>
  <c r="S31" i="10"/>
  <c r="S33" i="10"/>
  <c r="S34" i="10"/>
  <c r="S35" i="10"/>
  <c r="S37" i="10"/>
  <c r="S38" i="10"/>
  <c r="S39" i="10"/>
  <c r="S40" i="10"/>
  <c r="S2" i="10"/>
  <c r="O31" i="10"/>
  <c r="P31" i="10"/>
  <c r="O30" i="10"/>
  <c r="P30" i="10"/>
  <c r="P14" i="10"/>
  <c r="P15" i="10"/>
  <c r="P16" i="10"/>
  <c r="P17" i="10"/>
  <c r="P18" i="10"/>
  <c r="P19" i="10"/>
  <c r="P20" i="10"/>
  <c r="P21" i="10"/>
  <c r="P22" i="10"/>
  <c r="P23" i="10"/>
  <c r="P24" i="10"/>
  <c r="P25" i="10"/>
  <c r="P26" i="10"/>
  <c r="P27" i="10"/>
  <c r="P28" i="10"/>
  <c r="P29" i="10"/>
  <c r="P32" i="10"/>
  <c r="P33" i="10"/>
  <c r="P34" i="10"/>
  <c r="P35" i="10"/>
  <c r="P36" i="10"/>
  <c r="P37" i="10"/>
  <c r="P38" i="10"/>
  <c r="P39" i="10"/>
  <c r="P40" i="10"/>
  <c r="P41" i="10"/>
  <c r="L41" i="10"/>
  <c r="M41" i="10"/>
  <c r="N41" i="10"/>
  <c r="O41" i="10"/>
  <c r="K41" i="10"/>
  <c r="E31" i="10"/>
  <c r="F31" i="10"/>
  <c r="G31" i="10"/>
  <c r="H31" i="10"/>
  <c r="I31" i="10"/>
  <c r="K31" i="10"/>
  <c r="L31" i="10"/>
  <c r="M31" i="10"/>
  <c r="N31" i="10"/>
  <c r="Q31" i="10"/>
  <c r="E30" i="10"/>
  <c r="F30" i="10"/>
  <c r="G30" i="10"/>
  <c r="H30" i="10"/>
  <c r="I30" i="10"/>
  <c r="K30" i="10"/>
  <c r="L30" i="10"/>
  <c r="M30" i="10"/>
  <c r="N30" i="10"/>
  <c r="K40" i="10"/>
  <c r="L40" i="10"/>
  <c r="M40" i="10"/>
  <c r="N40" i="10"/>
  <c r="O40" i="10"/>
  <c r="K15" i="10"/>
  <c r="L15" i="10"/>
  <c r="M15" i="10"/>
  <c r="N15" i="10"/>
  <c r="O15" i="10"/>
  <c r="K16" i="10"/>
  <c r="L16" i="10"/>
  <c r="M16" i="10"/>
  <c r="N16" i="10"/>
  <c r="O16" i="10"/>
  <c r="K17" i="10"/>
  <c r="L17" i="10"/>
  <c r="M17" i="10"/>
  <c r="N17" i="10"/>
  <c r="O17" i="10"/>
  <c r="K18" i="10"/>
  <c r="L18" i="10"/>
  <c r="M18" i="10"/>
  <c r="N18" i="10"/>
  <c r="O18" i="10"/>
  <c r="K19" i="10"/>
  <c r="L19" i="10"/>
  <c r="M19" i="10"/>
  <c r="N19" i="10"/>
  <c r="O19" i="10"/>
  <c r="K20" i="10"/>
  <c r="L20" i="10"/>
  <c r="M20" i="10"/>
  <c r="N20" i="10"/>
  <c r="O20" i="10"/>
  <c r="K21" i="10"/>
  <c r="L21" i="10"/>
  <c r="M21" i="10"/>
  <c r="N21" i="10"/>
  <c r="O21" i="10"/>
  <c r="K22" i="10"/>
  <c r="L22" i="10"/>
  <c r="M22" i="10"/>
  <c r="N22" i="10"/>
  <c r="O22" i="10"/>
  <c r="K23" i="10"/>
  <c r="L23" i="10"/>
  <c r="M23" i="10"/>
  <c r="N23" i="10"/>
  <c r="O23" i="10"/>
  <c r="K24" i="10"/>
  <c r="L24" i="10"/>
  <c r="M24" i="10"/>
  <c r="N24" i="10"/>
  <c r="O24" i="10"/>
  <c r="K25" i="10"/>
  <c r="L25" i="10"/>
  <c r="M25" i="10"/>
  <c r="N25" i="10"/>
  <c r="O25" i="10"/>
  <c r="K26" i="10"/>
  <c r="L26" i="10"/>
  <c r="M26" i="10"/>
  <c r="N26" i="10"/>
  <c r="O26" i="10"/>
  <c r="K27" i="10"/>
  <c r="L27" i="10"/>
  <c r="M27" i="10"/>
  <c r="N27" i="10"/>
  <c r="O27" i="10"/>
  <c r="K28" i="10"/>
  <c r="L28" i="10"/>
  <c r="M28" i="10"/>
  <c r="N28" i="10"/>
  <c r="O28" i="10"/>
  <c r="K29" i="10"/>
  <c r="L29" i="10"/>
  <c r="M29" i="10"/>
  <c r="N29" i="10"/>
  <c r="O29" i="10"/>
  <c r="K32" i="10"/>
  <c r="L32" i="10"/>
  <c r="M32" i="10"/>
  <c r="N32" i="10"/>
  <c r="O32" i="10"/>
  <c r="K33" i="10"/>
  <c r="L33" i="10"/>
  <c r="M33" i="10"/>
  <c r="N33" i="10"/>
  <c r="O33" i="10"/>
  <c r="K34" i="10"/>
  <c r="L34" i="10"/>
  <c r="M34" i="10"/>
  <c r="N34" i="10"/>
  <c r="O34" i="10"/>
  <c r="K35" i="10"/>
  <c r="L35" i="10"/>
  <c r="M35" i="10"/>
  <c r="N35" i="10"/>
  <c r="O35" i="10"/>
  <c r="K36" i="10"/>
  <c r="L36" i="10"/>
  <c r="M36" i="10"/>
  <c r="N36" i="10"/>
  <c r="O36" i="10"/>
  <c r="K37" i="10"/>
  <c r="L37" i="10"/>
  <c r="M37" i="10"/>
  <c r="N37" i="10"/>
  <c r="O37" i="10"/>
  <c r="K38" i="10"/>
  <c r="L38" i="10"/>
  <c r="M38" i="10"/>
  <c r="N38" i="10"/>
  <c r="O38" i="10"/>
  <c r="K39" i="10"/>
  <c r="L39" i="10"/>
  <c r="M39" i="10"/>
  <c r="N39" i="10"/>
  <c r="O39" i="10"/>
  <c r="C41" i="10"/>
  <c r="D41" i="10"/>
  <c r="E41" i="10"/>
  <c r="F41" i="10"/>
  <c r="G41" i="10"/>
  <c r="B41" i="10"/>
  <c r="G35" i="10"/>
  <c r="C35" i="10"/>
  <c r="D35" i="10"/>
  <c r="E35" i="10"/>
  <c r="F35" i="10"/>
  <c r="B35" i="10"/>
  <c r="O7" i="10"/>
  <c r="K9" i="10"/>
  <c r="L9" i="10"/>
  <c r="M9" i="10"/>
  <c r="N9" i="10"/>
  <c r="O9" i="10"/>
  <c r="P9" i="10"/>
  <c r="K10" i="10"/>
  <c r="L10" i="10"/>
  <c r="M10" i="10"/>
  <c r="N10" i="10"/>
  <c r="O10" i="10"/>
  <c r="P10" i="10"/>
  <c r="K11" i="10"/>
  <c r="L11" i="10"/>
  <c r="M11" i="10"/>
  <c r="N11" i="10"/>
  <c r="O11" i="10"/>
  <c r="P11" i="10"/>
  <c r="K12" i="10"/>
  <c r="L12" i="10"/>
  <c r="M12" i="10"/>
  <c r="N12" i="10"/>
  <c r="O12" i="10"/>
  <c r="P12" i="10"/>
  <c r="K13" i="10"/>
  <c r="L13" i="10"/>
  <c r="M13" i="10"/>
  <c r="N13" i="10"/>
  <c r="O13" i="10"/>
  <c r="P13" i="10"/>
  <c r="K14" i="10"/>
  <c r="L14" i="10"/>
  <c r="M14" i="10"/>
  <c r="N14" i="10"/>
  <c r="O14" i="10"/>
  <c r="K3" i="10"/>
  <c r="L3" i="10"/>
  <c r="M3" i="10"/>
  <c r="N3" i="10"/>
  <c r="O3" i="10"/>
  <c r="P3" i="10"/>
  <c r="K4" i="10"/>
  <c r="L4" i="10"/>
  <c r="M4" i="10"/>
  <c r="N4" i="10"/>
  <c r="O4" i="10"/>
  <c r="P4" i="10"/>
  <c r="K5" i="10"/>
  <c r="L5" i="10"/>
  <c r="M5" i="10"/>
  <c r="N5" i="10"/>
  <c r="O5" i="10"/>
  <c r="P5" i="10"/>
  <c r="K6" i="10"/>
  <c r="L6" i="10"/>
  <c r="M6" i="10"/>
  <c r="N6" i="10"/>
  <c r="O6" i="10"/>
  <c r="P6" i="10"/>
  <c r="C30" i="10"/>
  <c r="C31" i="10" s="1"/>
  <c r="D30" i="10"/>
  <c r="Q30" i="10"/>
  <c r="G15" i="10"/>
  <c r="Q44" i="10"/>
  <c r="R44" i="10"/>
  <c r="P2" i="10"/>
  <c r="O2" i="10"/>
  <c r="L2" i="10"/>
  <c r="M2" i="10"/>
  <c r="N2" i="10"/>
  <c r="K2" i="10"/>
  <c r="C15" i="10"/>
  <c r="D15" i="10"/>
  <c r="E15" i="10"/>
  <c r="F15" i="10"/>
  <c r="B15" i="10"/>
  <c r="B30" i="10"/>
  <c r="B31" i="10" s="1"/>
  <c r="C7" i="10"/>
  <c r="K7" i="10" s="1"/>
  <c r="D7" i="10"/>
  <c r="L7" i="10" s="1"/>
  <c r="E7" i="10"/>
  <c r="M7" i="10" s="1"/>
  <c r="F7" i="10"/>
  <c r="P7" i="10" s="1"/>
  <c r="G7" i="10"/>
  <c r="B7" i="10"/>
  <c r="C17" i="4"/>
  <c r="C18" i="4" s="1"/>
  <c r="C19" i="4" s="1"/>
  <c r="C20" i="4" s="1"/>
  <c r="C21" i="4" s="1"/>
  <c r="C22" i="4" s="1"/>
  <c r="C23" i="4" s="1"/>
  <c r="C24" i="4" s="1"/>
  <c r="C25" i="4" s="1"/>
  <c r="C26" i="4" s="1"/>
  <c r="C27" i="4" s="1"/>
  <c r="C28" i="4" s="1"/>
  <c r="C29" i="4" s="1"/>
  <c r="C30" i="4" s="1"/>
  <c r="C31" i="4" s="1"/>
  <c r="C32" i="4" s="1"/>
  <c r="C33" i="4" s="1"/>
  <c r="C34" i="4" s="1"/>
  <c r="C35" i="4" s="1"/>
  <c r="C36" i="4" s="1"/>
  <c r="C37" i="4" s="1"/>
  <c r="C38" i="4" s="1"/>
  <c r="C39" i="4" s="1"/>
  <c r="C40" i="4" s="1"/>
  <c r="C41" i="4" s="1"/>
  <c r="C42" i="4" s="1"/>
  <c r="C43" i="4" s="1"/>
  <c r="C16" i="4"/>
  <c r="AV46" i="4"/>
  <c r="AT46" i="4"/>
  <c r="AU14" i="4"/>
  <c r="AV14" i="4"/>
  <c r="AT14" i="4"/>
  <c r="AU15" i="4"/>
  <c r="AV15" i="4"/>
  <c r="AV16" i="4"/>
  <c r="AV17" i="4"/>
  <c r="AV18" i="4"/>
  <c r="AV19" i="4"/>
  <c r="AV20" i="4"/>
  <c r="AV21" i="4"/>
  <c r="AV22" i="4"/>
  <c r="AV23" i="4"/>
  <c r="AV24" i="4"/>
  <c r="AV25" i="4"/>
  <c r="AV26" i="4"/>
  <c r="AV27" i="4"/>
  <c r="AV28" i="4"/>
  <c r="AV29" i="4"/>
  <c r="AV30" i="4"/>
  <c r="AV31" i="4"/>
  <c r="AV32" i="4"/>
  <c r="AV33" i="4"/>
  <c r="AV34" i="4"/>
  <c r="AV35" i="4"/>
  <c r="AV36" i="4"/>
  <c r="AV37" i="4"/>
  <c r="AV38" i="4"/>
  <c r="AV39" i="4"/>
  <c r="AV40" i="4"/>
  <c r="AV41" i="4"/>
  <c r="AV42" i="4"/>
  <c r="AV43" i="4"/>
  <c r="AT38" i="4"/>
  <c r="AT37" i="4"/>
  <c r="AT36" i="4"/>
  <c r="AT35" i="4"/>
  <c r="AT34" i="4"/>
  <c r="AT33" i="4"/>
  <c r="AT32" i="4"/>
  <c r="AT31" i="4"/>
  <c r="AT30" i="4"/>
  <c r="AT29" i="4"/>
  <c r="AT28" i="4"/>
  <c r="AT27" i="4"/>
  <c r="AT26" i="4"/>
  <c r="AT25" i="4"/>
  <c r="AT24" i="4"/>
  <c r="AT23" i="4"/>
  <c r="AT22" i="4"/>
  <c r="AT21" i="4"/>
  <c r="AT20" i="4"/>
  <c r="AT19" i="4"/>
  <c r="AT18" i="4"/>
  <c r="AT17" i="4"/>
  <c r="AT16" i="4"/>
  <c r="AT15" i="4"/>
  <c r="AT39" i="4"/>
  <c r="AT40" i="4"/>
  <c r="AT41" i="4"/>
  <c r="AT42" i="4"/>
  <c r="AT43" i="4"/>
  <c r="AT44" i="4"/>
  <c r="AO15" i="4"/>
  <c r="AP15" i="4"/>
  <c r="AQ15" i="4"/>
  <c r="AO16" i="4"/>
  <c r="AQ16" i="4"/>
  <c r="AO17" i="4"/>
  <c r="AQ17" i="4"/>
  <c r="AO18" i="4"/>
  <c r="AQ18" i="4"/>
  <c r="AO19" i="4"/>
  <c r="AQ19" i="4"/>
  <c r="AO20" i="4"/>
  <c r="AQ20" i="4"/>
  <c r="AO21" i="4"/>
  <c r="AQ21" i="4"/>
  <c r="AO22" i="4"/>
  <c r="AQ22" i="4"/>
  <c r="AO23" i="4"/>
  <c r="AQ23" i="4"/>
  <c r="AO24" i="4"/>
  <c r="AQ24" i="4"/>
  <c r="AO25" i="4"/>
  <c r="AQ25" i="4"/>
  <c r="AO26" i="4"/>
  <c r="AQ26" i="4"/>
  <c r="AO27" i="4"/>
  <c r="AQ27" i="4"/>
  <c r="AO28" i="4"/>
  <c r="AQ28" i="4"/>
  <c r="AO29" i="4"/>
  <c r="AQ29" i="4"/>
  <c r="AO30" i="4"/>
  <c r="AQ30" i="4"/>
  <c r="AO31" i="4"/>
  <c r="AQ31" i="4"/>
  <c r="AO32" i="4"/>
  <c r="AQ32" i="4"/>
  <c r="AO33" i="4"/>
  <c r="AQ33" i="4"/>
  <c r="AO34" i="4"/>
  <c r="AQ34" i="4"/>
  <c r="AO35" i="4"/>
  <c r="AQ35" i="4"/>
  <c r="AO36" i="4"/>
  <c r="AQ36" i="4"/>
  <c r="AO37" i="4"/>
  <c r="AQ37" i="4"/>
  <c r="AO38" i="4"/>
  <c r="AQ38" i="4"/>
  <c r="AO39" i="4"/>
  <c r="AQ39" i="4"/>
  <c r="AO40" i="4"/>
  <c r="AQ40" i="4"/>
  <c r="AO41" i="4"/>
  <c r="AQ41" i="4"/>
  <c r="AO42" i="4"/>
  <c r="AQ42" i="4"/>
  <c r="AO43" i="4"/>
  <c r="AQ43" i="4"/>
  <c r="AO44" i="4"/>
  <c r="AQ44" i="4"/>
  <c r="AP14" i="4"/>
  <c r="AQ14" i="4"/>
  <c r="AO14" i="4"/>
  <c r="AO10" i="4"/>
  <c r="AC47" i="4"/>
  <c r="AD47" i="4"/>
  <c r="AB47" i="4"/>
  <c r="AC6" i="4"/>
  <c r="AD6" i="4"/>
  <c r="AC7" i="4"/>
  <c r="AD7" i="4"/>
  <c r="AC8" i="4"/>
  <c r="AD8" i="4"/>
  <c r="AC9" i="4"/>
  <c r="AD9" i="4"/>
  <c r="AC10" i="4"/>
  <c r="AD10" i="4"/>
  <c r="AC11" i="4"/>
  <c r="AD11" i="4"/>
  <c r="AC12" i="4"/>
  <c r="AD12" i="4"/>
  <c r="AC13" i="4"/>
  <c r="AD13" i="4"/>
  <c r="AC14" i="4"/>
  <c r="AD14" i="4"/>
  <c r="AC15" i="4"/>
  <c r="AD15" i="4"/>
  <c r="AB7" i="4"/>
  <c r="AB8" i="4"/>
  <c r="AB9" i="4"/>
  <c r="AB10" i="4"/>
  <c r="AB11" i="4"/>
  <c r="AB12" i="4"/>
  <c r="AB13" i="4"/>
  <c r="AB14" i="4"/>
  <c r="AB15" i="4"/>
  <c r="AB6" i="4"/>
  <c r="Q16" i="4"/>
  <c r="Q17" i="4" s="1"/>
  <c r="P16" i="4"/>
  <c r="P17" i="4" s="1"/>
  <c r="P18" i="4" s="1"/>
  <c r="P19" i="4" s="1"/>
  <c r="P20" i="4" s="1"/>
  <c r="P21" i="4" s="1"/>
  <c r="P22" i="4" s="1"/>
  <c r="P23" i="4" s="1"/>
  <c r="P24" i="4" s="1"/>
  <c r="P25" i="4" s="1"/>
  <c r="P26" i="4" s="1"/>
  <c r="P27" i="4" s="1"/>
  <c r="P28" i="4" s="1"/>
  <c r="P29" i="4" s="1"/>
  <c r="P30" i="4" s="1"/>
  <c r="P31" i="4" s="1"/>
  <c r="P32" i="4" s="1"/>
  <c r="P33" i="4" s="1"/>
  <c r="P34" i="4" s="1"/>
  <c r="P35" i="4" s="1"/>
  <c r="P36" i="4" s="1"/>
  <c r="P37" i="4" s="1"/>
  <c r="P38" i="4" s="1"/>
  <c r="P39" i="4" s="1"/>
  <c r="P40" i="4" s="1"/>
  <c r="P41" i="4" s="1"/>
  <c r="P42" i="4" s="1"/>
  <c r="P43" i="4" s="1"/>
  <c r="P44" i="4" s="1"/>
  <c r="AC44" i="4" s="1"/>
  <c r="AP44" i="4" s="1"/>
  <c r="AU46" i="4" s="1"/>
  <c r="O15" i="4"/>
  <c r="O16" i="4" s="1"/>
  <c r="D17" i="4"/>
  <c r="D18" i="4"/>
  <c r="D19" i="4"/>
  <c r="D20" i="4"/>
  <c r="D21" i="4"/>
  <c r="D22" i="4"/>
  <c r="D23" i="4"/>
  <c r="D24" i="4"/>
  <c r="D25" i="4"/>
  <c r="D26" i="4"/>
  <c r="D27" i="4"/>
  <c r="D28" i="4"/>
  <c r="D29" i="4"/>
  <c r="D30" i="4"/>
  <c r="D31" i="4"/>
  <c r="D32" i="4"/>
  <c r="D33" i="4"/>
  <c r="D16" i="4"/>
  <c r="AD16" i="4" s="1"/>
  <c r="AC16" i="4"/>
  <c r="AP16" i="4" s="1"/>
  <c r="AU16" i="4" s="1"/>
  <c r="N7" i="10" l="1"/>
  <c r="F44" i="10"/>
  <c r="G44" i="10"/>
  <c r="D44" i="10"/>
  <c r="C44" i="10"/>
  <c r="E44" i="10"/>
  <c r="B44" i="10"/>
  <c r="D31" i="10"/>
  <c r="AD22" i="4"/>
  <c r="AD21" i="4"/>
  <c r="AD19" i="4"/>
  <c r="AD23" i="4"/>
  <c r="Q18" i="4"/>
  <c r="Q19" i="4" s="1"/>
  <c r="Q20" i="4" s="1"/>
  <c r="Q21" i="4" s="1"/>
  <c r="Q22" i="4" s="1"/>
  <c r="Q23" i="4" s="1"/>
  <c r="Q24" i="4" s="1"/>
  <c r="AD17" i="4"/>
  <c r="AD20" i="4"/>
  <c r="AD18" i="4"/>
  <c r="O17" i="4"/>
  <c r="AB16" i="4"/>
  <c r="O18" i="4" l="1"/>
  <c r="AB17" i="4"/>
  <c r="AC17" i="4"/>
  <c r="AP17" i="4" s="1"/>
  <c r="AU17" i="4" s="1"/>
  <c r="Q25" i="4"/>
  <c r="AD24" i="4"/>
  <c r="N44" i="10" l="1"/>
  <c r="K44" i="10"/>
  <c r="O44" i="10"/>
  <c r="Q26" i="4"/>
  <c r="AD25" i="4"/>
  <c r="AC18" i="4"/>
  <c r="AP18" i="4" s="1"/>
  <c r="AU18" i="4" s="1"/>
  <c r="O19" i="4"/>
  <c r="AB18" i="4"/>
  <c r="M44" i="10" l="1"/>
  <c r="P44" i="10"/>
  <c r="O20" i="4"/>
  <c r="AB19" i="4"/>
  <c r="AC19" i="4"/>
  <c r="AP19" i="4" s="1"/>
  <c r="AU19" i="4" s="1"/>
  <c r="Q27" i="4"/>
  <c r="AD26" i="4"/>
  <c r="L44" i="10" l="1"/>
  <c r="Q28" i="4"/>
  <c r="AD27" i="4"/>
  <c r="AC20" i="4"/>
  <c r="AP20" i="4" s="1"/>
  <c r="AU20" i="4" s="1"/>
  <c r="O21" i="4"/>
  <c r="AB20" i="4"/>
  <c r="O22" i="4" l="1"/>
  <c r="AB21" i="4"/>
  <c r="AC21" i="4"/>
  <c r="AP21" i="4" s="1"/>
  <c r="AU21" i="4" s="1"/>
  <c r="Q29" i="4"/>
  <c r="AD28" i="4"/>
  <c r="Q30" i="4" l="1"/>
  <c r="AD29" i="4"/>
  <c r="AC22" i="4"/>
  <c r="AP22" i="4" s="1"/>
  <c r="AU22" i="4" s="1"/>
  <c r="O23" i="4"/>
  <c r="AB22" i="4"/>
  <c r="O24" i="4" l="1"/>
  <c r="AB23" i="4"/>
  <c r="AC23" i="4"/>
  <c r="AP23" i="4" s="1"/>
  <c r="AU23" i="4" s="1"/>
  <c r="Q31" i="4"/>
  <c r="AD30" i="4"/>
  <c r="Q32" i="4" l="1"/>
  <c r="AD31" i="4"/>
  <c r="AC24" i="4"/>
  <c r="AP24" i="4" s="1"/>
  <c r="AU24" i="4" s="1"/>
  <c r="O25" i="4"/>
  <c r="AB24" i="4"/>
  <c r="O26" i="4" l="1"/>
  <c r="AB25" i="4"/>
  <c r="AC25" i="4"/>
  <c r="AP25" i="4" s="1"/>
  <c r="AU25" i="4" s="1"/>
  <c r="Q33" i="4"/>
  <c r="AD32" i="4"/>
  <c r="Q34" i="4" l="1"/>
  <c r="AD33" i="4"/>
  <c r="AC26" i="4"/>
  <c r="AP26" i="4" s="1"/>
  <c r="AU26" i="4" s="1"/>
  <c r="O27" i="4"/>
  <c r="AB26" i="4"/>
  <c r="O28" i="4" l="1"/>
  <c r="AB27" i="4"/>
  <c r="AC27" i="4"/>
  <c r="AP27" i="4" s="1"/>
  <c r="AU27" i="4" s="1"/>
  <c r="Q35" i="4"/>
  <c r="AD34" i="4"/>
  <c r="Q36" i="4" l="1"/>
  <c r="AD35" i="4"/>
  <c r="AC28" i="4"/>
  <c r="AP28" i="4" s="1"/>
  <c r="AU28" i="4" s="1"/>
  <c r="O29" i="4"/>
  <c r="AB28" i="4"/>
  <c r="O30" i="4" l="1"/>
  <c r="AB29" i="4"/>
  <c r="AC29" i="4"/>
  <c r="AP29" i="4" s="1"/>
  <c r="AU29" i="4" s="1"/>
  <c r="Q37" i="4"/>
  <c r="AD36" i="4"/>
  <c r="Q38" i="4" l="1"/>
  <c r="AD37" i="4"/>
  <c r="AC30" i="4"/>
  <c r="AP30" i="4" s="1"/>
  <c r="AU30" i="4" s="1"/>
  <c r="O31" i="4"/>
  <c r="AB30" i="4"/>
  <c r="O32" i="4" l="1"/>
  <c r="AB31" i="4"/>
  <c r="AC31" i="4"/>
  <c r="AP31" i="4" s="1"/>
  <c r="AU31" i="4" s="1"/>
  <c r="Q39" i="4"/>
  <c r="AD38" i="4"/>
  <c r="Q40" i="4" l="1"/>
  <c r="AD39" i="4"/>
  <c r="AC32" i="4"/>
  <c r="AP32" i="4" s="1"/>
  <c r="AU32" i="4" s="1"/>
  <c r="O33" i="4"/>
  <c r="AB32" i="4"/>
  <c r="O34" i="4" l="1"/>
  <c r="AB33" i="4"/>
  <c r="AC33" i="4"/>
  <c r="AP33" i="4" s="1"/>
  <c r="AU33" i="4" s="1"/>
  <c r="Q41" i="4"/>
  <c r="AD40" i="4"/>
  <c r="Q42" i="4" l="1"/>
  <c r="AD41" i="4"/>
  <c r="AC34" i="4"/>
  <c r="AP34" i="4" s="1"/>
  <c r="AU34" i="4" s="1"/>
  <c r="O35" i="4"/>
  <c r="AB34" i="4"/>
  <c r="O36" i="4" l="1"/>
  <c r="AB35" i="4"/>
  <c r="AC35" i="4"/>
  <c r="AP35" i="4" s="1"/>
  <c r="AU35" i="4" s="1"/>
  <c r="Q43" i="4"/>
  <c r="AD42" i="4"/>
  <c r="Q44" i="4" l="1"/>
  <c r="AD44" i="4" s="1"/>
  <c r="AD43" i="4"/>
  <c r="AC36" i="4"/>
  <c r="AP36" i="4" s="1"/>
  <c r="AU36" i="4" s="1"/>
  <c r="O37" i="4"/>
  <c r="AB36" i="4"/>
  <c r="O38" i="4" l="1"/>
  <c r="AB37" i="4"/>
  <c r="AC37" i="4"/>
  <c r="AP37" i="4" s="1"/>
  <c r="AU37" i="4" s="1"/>
  <c r="AC38" i="4" l="1"/>
  <c r="AP38" i="4" s="1"/>
  <c r="AU38" i="4" s="1"/>
  <c r="O39" i="4"/>
  <c r="AB38" i="4"/>
  <c r="O40" i="4" l="1"/>
  <c r="AB39" i="4"/>
  <c r="AC39" i="4"/>
  <c r="AP39" i="4" s="1"/>
  <c r="AU39" i="4" s="1"/>
  <c r="AC40" i="4" l="1"/>
  <c r="AP40" i="4" s="1"/>
  <c r="AU40" i="4" s="1"/>
  <c r="O41" i="4"/>
  <c r="AB40" i="4"/>
  <c r="O42" i="4" l="1"/>
  <c r="AB41" i="4"/>
  <c r="AC41" i="4"/>
  <c r="AP41" i="4" s="1"/>
  <c r="AU41" i="4" s="1"/>
  <c r="AC43" i="4" l="1"/>
  <c r="AP43" i="4" s="1"/>
  <c r="AU43" i="4" s="1"/>
  <c r="AC42" i="4"/>
  <c r="AP42" i="4" s="1"/>
  <c r="AU42" i="4" s="1"/>
  <c r="O43" i="4"/>
  <c r="AB42" i="4"/>
  <c r="O44" i="4" l="1"/>
  <c r="AB44" i="4" s="1"/>
  <c r="AB43" i="4"/>
</calcChain>
</file>

<file path=xl/sharedStrings.xml><?xml version="1.0" encoding="utf-8"?>
<sst xmlns="http://schemas.openxmlformats.org/spreadsheetml/2006/main" count="310" uniqueCount="180">
  <si>
    <t>Trend</t>
  </si>
  <si>
    <t>Growth in E-Commerce Demand</t>
  </si>
  <si>
    <t>Effects on Freight and Logistics</t>
  </si>
  <si>
    <t>Effects on Land Use</t>
  </si>
  <si>
    <t>Warehouse/DC automation</t>
  </si>
  <si>
    <t>Distributed manufacturing</t>
  </si>
  <si>
    <t>Autonomous delivery vehicles</t>
  </si>
  <si>
    <t>Climate change</t>
  </si>
  <si>
    <t>Population growth/distribution</t>
  </si>
  <si>
    <t>Retail center repurposing</t>
  </si>
  <si>
    <t>Clean freight fueling/charging</t>
  </si>
  <si>
    <t>#</t>
  </si>
  <si>
    <t xml:space="preserve">•  Multi-story and automated warehouse/DC facilities are more productive on a tons/acre basis
•  More truck trips (inbound and outbound) </t>
  </si>
  <si>
    <t>Supply chain fluidity/resilience</t>
  </si>
  <si>
    <t>•  Could reduce fuel, labor, and equipment costs for deliveries
•  Could improve safety
•  Depending upon the technology used, could reduce need for curb space</t>
  </si>
  <si>
    <t>•  Could reduce the need for truck parking and rest area space
•  Could require/facilitate off-street loading areas or other accommodation for the autonomous vehicle/technology
•  Delivery robots appear to be most implementable in suburban environments (for now)</t>
  </si>
  <si>
    <t>•  Much of the region's industrial land is in low-lying coastal areas or river valleys prone to flooding
•  Flood protections may be needed, or relocations to less-vulnerable areas</t>
  </si>
  <si>
    <t>•  Much of the region's freight transportation infrastructure is vulnerable to sea or river flooding and sea level rise</t>
  </si>
  <si>
    <t xml:space="preserve">•  Urban and inner-ring suburban areas are experiencing more population growth than exurban/rural areas
•  More homes and businesses in urban areas will require more deliveries </t>
  </si>
  <si>
    <t>•  More deliveries will require more warehousing and fulfillment center development
•  More growth in distributed manufacturing may occur in urban/inner suburban areas than rural</t>
  </si>
  <si>
    <t>•  More inbound/outbound truck/delivery vehicle trips than personal auto trips
•  Personal auto and transit trips during employee shift changes (not for shoppers arriving/departing throughout the day)
•  Some retail stores are becoming partial fulfillment centers (portion of sq footage for fulfillment, but still open as a retail storefront)
•  May or may not require zoning changes, depending upon the activity and the local zoning regs</t>
  </si>
  <si>
    <t>•  Fueled by growth in e-commerce and closure of some brick-and-mortar retail centers
•  Establishes fulfillment centers close to population centers
•  It's 20th century retail being replaced or complemented by the automation and convenience of 21st century retail</t>
  </si>
  <si>
    <t>•  Uncertainty in supply chain performance (especially during and looking out after COVID) 
•  Could facilitate more nearshoring or onshoring, and/or redundancy (off shore + near/onshore)
•  Higher costs and capacity issues may persist for a while</t>
  </si>
  <si>
    <t>•  Redunancy could/is spreading to manufacturing and warehousing
•  More warehousing/stockpiling?  Increased demand for space</t>
  </si>
  <si>
    <t>•  Emphasis on time-definite delivery, quick fulfillment (higher costs in/near urban cores are justified by better access/service to consumers)
•  Tiered distribution networks to facilitate supply chain velocity
•  More food (groceries, prepared meals, restaurant meals) being ordered online
•  Pax auto trips to stores replaced with last-mile delivery tours
•  Change in business plans en masse to include (or increase share of sales via) e-commerce is driving ever increasing investments in freight and logistics assets</t>
  </si>
  <si>
    <t>•  Fueling demand for warehouse/dc/fc space across the country
•  Demand driving increases in size of facilities
•  Growing demand for refrigerated space contributes to industrial demand profile
•  Loading areas/curb utilization in urban core areas and town center commercial districts for deliveries is increasingly important</t>
  </si>
  <si>
    <t>•  Higher floor-to-ceiling heights and multistory buildings (may have zoning/development regulation implications)
•  More truck/loading bays</t>
  </si>
  <si>
    <t>•  Growing demand for transportation of "inks" to feed 3D processes
•  Potential for greater use of rail for transport of "inks"
•  Increased transportation safety needs due to the chemical composition of the "inks"</t>
  </si>
  <si>
    <t xml:space="preserve">•  More (and potentially smaller) manufacturing facilities could emerge. 
•  Future 3D printing locations could be in the home, commercial buildings, industrial buildings, almost anywhere
•  Larger-scale 3D printing facilities or ink suppliers could seek (i.e., higher demand for) rail-served industrial sites.
</t>
  </si>
  <si>
    <t>•  Increasing demand for alternative fuels and electric fast charging for trucks over time
•  Potential implementation of Clean Freight Corridors</t>
  </si>
  <si>
    <t xml:space="preserve">•  Potential to include fast and/or wireless charging in warehouse/industrial park development plans/regs
•  Any off-site fast and/or wireless charging facilities f (i.e., not in an industrial park, existing fueling station, etc.) for heavy duty trucks would likely seek out commercial or industrial zoned land close to highway interchanges.  
</t>
  </si>
  <si>
    <t>Scenario A (High)</t>
  </si>
  <si>
    <t>PFAC Freight Subcommittee Member Comments
(PLEASE ADD YOUR COMMENTS IN THIS COLUMN)</t>
  </si>
  <si>
    <t>Retail center repurposing (merge with e-commerce)</t>
  </si>
  <si>
    <t>High population growth (double 2010-2020 trend)</t>
  </si>
  <si>
    <t>Low population growth (half of 2010-2020 trend)</t>
  </si>
  <si>
    <t>Robust system of alt fueling stations/sites, along corridors identified in the CFCS</t>
  </si>
  <si>
    <t>Very little development of alt fueling stations/sites</t>
  </si>
  <si>
    <t>"Retreat" scenario</t>
  </si>
  <si>
    <t>"Hardening" scenario</t>
  </si>
  <si>
    <t>Scenario Analysis?</t>
  </si>
  <si>
    <t>Yes</t>
  </si>
  <si>
    <t>No</t>
  </si>
  <si>
    <t>High % of parts/electronics produced locally</t>
  </si>
  <si>
    <t>E-commerce becomes 80% of consumer retail</t>
  </si>
  <si>
    <t>E-Commerce stalls at 30% of consumer retail</t>
  </si>
  <si>
    <t>Low % of parts/electronics produced locally</t>
  </si>
  <si>
    <t xml:space="preserve">Note: </t>
  </si>
  <si>
    <t>Base projection: 47% by 2050</t>
  </si>
  <si>
    <t>Haven't found a forecast to use as a basis</t>
  </si>
  <si>
    <t>Need flood data covering full geographic area</t>
  </si>
  <si>
    <t>Scenario B (Low/Different)</t>
  </si>
  <si>
    <t>Explanation</t>
  </si>
  <si>
    <t>If e-commerce were to grow more rapidly, demand for fulfillment space would continue to skyrocket, and much of that space would need to be very close to consumers (e.g., in the boroughs).  There would also be more transition of former retail storefronts, etc., to fulfillment space</t>
  </si>
  <si>
    <t>High scenario would mean more small-scale manufacturing in the region, greater likelihood of manufacturing activities happening on land zoned for other uses, and potentially more carload rail demand/siding access issues</t>
  </si>
  <si>
    <t>In a retreat scenario, some % of industrial buildings would relocate to areas outside of flood-prone areas.  What % of our industrial land is flood prone?</t>
  </si>
  <si>
    <t>More demand, more industrial development (more density/intensity).  Trend is for more growth in/near urban core, industrial demand may follow.</t>
  </si>
  <si>
    <t>While many fueling sites could be accommodated at existing fueling stations, truck stops, etc., there's likely a need to develop new facilities along key corridors.  Commercial land near interchanges would be most likely locations for development</t>
  </si>
  <si>
    <t>Base</t>
  </si>
  <si>
    <t>E-Commerce as a Percent of Retail Sales</t>
  </si>
  <si>
    <t>High</t>
  </si>
  <si>
    <t>Low</t>
  </si>
  <si>
    <t>Total Retail Sales</t>
  </si>
  <si>
    <t>Used 47% from NJTPA study as a base assumption.  Expanded historic data (through 2021) to 2050 using the CAGR that gets us to 47%</t>
  </si>
  <si>
    <t>Used 80% target, used CAGR from 2021-2050</t>
  </si>
  <si>
    <t>Growth at "base" rate til 30% achieved.  Held steady thereafter.</t>
  </si>
  <si>
    <t xml:space="preserve">Base: </t>
  </si>
  <si>
    <t>Calc. CAGR from 2012-2019.  Grew post-2021 years at pre-COVID CAGR</t>
  </si>
  <si>
    <t>Grew post-2021 years at double pre-COVID CAGR</t>
  </si>
  <si>
    <t>Grew post-2021 years at half pre-COVID CAGR</t>
  </si>
  <si>
    <t>Total E-Commerce Sales</t>
  </si>
  <si>
    <t>2050 as % of 2021</t>
  </si>
  <si>
    <t>https://www.cnbc.com/2020/07/09/us-may-need-another-1-billion-square-feet-of-warehouse-space-by-2025.html</t>
  </si>
  <si>
    <r>
      <t> </t>
    </r>
    <r>
      <rPr>
        <u/>
        <sz val="9"/>
        <color rgb="FF2077B6"/>
        <rFont val="Arial"/>
        <family val="2"/>
      </rPr>
      <t>Prologis</t>
    </r>
    <r>
      <rPr>
        <sz val="9"/>
        <color rgb="FF000000"/>
        <rFont val="Arial"/>
        <family val="2"/>
      </rPr>
      <t>, a real estate investment trust that is also </t>
    </r>
    <r>
      <rPr>
        <u/>
        <sz val="9"/>
        <color rgb="FF2077B6"/>
        <rFont val="Arial"/>
        <family val="2"/>
      </rPr>
      <t>Amazon</t>
    </r>
    <r>
      <rPr>
        <sz val="9"/>
        <color rgb="FF000000"/>
        <rFont val="Arial"/>
        <family val="2"/>
      </rPr>
      <t>’s largest landlord, has estimated that e-commerce companies require 1.2 million square feet of distribution space for each $1 billion in sales.  </t>
    </r>
  </si>
  <si>
    <t>per trillion</t>
  </si>
  <si>
    <t>Square feet of warehousing required nationally to support e-commerce</t>
  </si>
  <si>
    <t>Assuming productivity improvement (30% over term)</t>
  </si>
  <si>
    <t>Maps</t>
  </si>
  <si>
    <t>Option 1</t>
  </si>
  <si>
    <t>Map of the region with large "bubbles" drawn on to show areas where demand may be greatest (e.g., the boroughs, Lehigh Valley, etc)</t>
  </si>
  <si>
    <t>Option 2</t>
  </si>
  <si>
    <t>Map of the industrial and commercial land use areas across the region, as these may be where the development is most likely to occur</t>
  </si>
  <si>
    <t>Include industrial, ag, and commercial land uses and make the interstates stand out (and label them)</t>
  </si>
  <si>
    <t>Distributed Manufacturing</t>
  </si>
  <si>
    <t>Climate Change</t>
  </si>
  <si>
    <t>Population Growth/Distribution</t>
  </si>
  <si>
    <t>Clean Freight Fueling/Charging</t>
  </si>
  <si>
    <t>https://coast.noaa.gov/slrdata/</t>
  </si>
  <si>
    <t>Geodata on potential future sea level rise</t>
  </si>
  <si>
    <t>Overlay our freight-generating, freight handling, and freight receiving land use categories with FEMA flood and sea level rise geodata</t>
  </si>
  <si>
    <t>What % of land in each category is in a flood plain, and what % of land in each category is susceptible to sea level rise?</t>
  </si>
  <si>
    <t>Population growth is strongest in the urban core:</t>
  </si>
  <si>
    <t>DCs and FCs in the urban core (including multistory) are more likely to be developed, in order to best serve those consumers</t>
  </si>
  <si>
    <t>DCs in the periphery would most likely concentrate on regional/national distribution</t>
  </si>
  <si>
    <t>Population growth is strongest in the surburban/exurban areas:</t>
  </si>
  <si>
    <t>DCs and FCs are likely to sprout everywhere</t>
  </si>
  <si>
    <t>Less advantage to expensive urban locations than in the first scenario</t>
  </si>
  <si>
    <t>“We’ve seen gigantic leases, high-density leases, signed in Brooklyn, Queens and markets around New York City,” Meyer said. “And what’s remarkable about those is there are rents that are equal to office building rents. Because being close to that cluster, for that last mile, is so critical.”</t>
  </si>
  <si>
    <t>https://www.cnbc.com/2021/07/01/warehouse-demand-at-unprecedented-levels-in-cities-like-savannah-jll.html</t>
  </si>
  <si>
    <t>It's difficult to forecast warehousing demand based upon population growth as a driver.  Population certainly is an important variable for last-mile DCs/FCs, but a large portion of industrial RE development is related to traffic coming in/out of the Port, manufacturing, and regional/national distribution that are affected by population growth, trade, economic, and other factors inside and far beyond the study area.</t>
  </si>
  <si>
    <t>https://therealdeal.com/2021/11/30/last-mile-facilities-dominating-industrial-real-estate/</t>
  </si>
  <si>
    <t>https://www.gofordelivers.com/blog/what-is-last-mile-delivery</t>
  </si>
  <si>
    <t>More population growth in the metro core = more last-mile delivery centers in/near the urban core</t>
  </si>
  <si>
    <t>More population growth in the suburban/exurban areas = more last-mile delivery centers in the suburban/exurban areas</t>
  </si>
  <si>
    <t xml:space="preserve">More population growth outside the region = more regional/national DCs that facilitate distributing imports/exports from the region's international gateways to/from consumers in other regions of the country.  </t>
  </si>
  <si>
    <t>Very little transition to alternative fuels would have very few land use implications</t>
  </si>
  <si>
    <t xml:space="preserve">Potential outcomes: </t>
  </si>
  <si>
    <t>Fizzles, nothing changes from status quo</t>
  </si>
  <si>
    <t>Facilitates nearshoring of production of some goods, primarily in manufacturing facilities/zones</t>
  </si>
  <si>
    <t>Facilitates a cottage industry of make-at-home (either consumers make their own, or entrepreneurs produce things at a small scale) that could take place almost anywhere.</t>
  </si>
  <si>
    <t>Distributed manufacturing - Wikipedia</t>
  </si>
  <si>
    <t>Sea Level Rise: 5 feet</t>
  </si>
  <si>
    <t>Sea Level Rise: 1 foot</t>
  </si>
  <si>
    <t>Land Use Category</t>
  </si>
  <si>
    <t>Percent of Land Area by Freight Land Use Category Affected by Sea Level Rise</t>
  </si>
  <si>
    <t>Percent of Land Area by Freight Land Use Category at Greatest Risk for Flooding</t>
  </si>
  <si>
    <t>Special Flood Hazard Area</t>
  </si>
  <si>
    <r>
      <rPr>
        <b/>
        <sz val="11"/>
        <color theme="1"/>
        <rFont val="Calibri"/>
        <family val="2"/>
        <scheme val="minor"/>
      </rPr>
      <t>Freight-Generating Lands</t>
    </r>
    <r>
      <rPr>
        <sz val="11"/>
        <color theme="1"/>
        <rFont val="Calibri"/>
        <family val="2"/>
        <scheme val="minor"/>
      </rPr>
      <t xml:space="preserve"> 
</t>
    </r>
    <r>
      <rPr>
        <i/>
        <sz val="10"/>
        <color theme="1"/>
        <rFont val="Calibri"/>
        <family val="2"/>
        <scheme val="minor"/>
      </rPr>
      <t>(industrial, agricultural)</t>
    </r>
  </si>
  <si>
    <r>
      <rPr>
        <b/>
        <sz val="11"/>
        <color theme="1"/>
        <rFont val="Calibri"/>
        <family val="2"/>
        <scheme val="minor"/>
      </rPr>
      <t xml:space="preserve">Freight-Handling Lands </t>
    </r>
    <r>
      <rPr>
        <sz val="11"/>
        <color theme="1"/>
        <rFont val="Calibri"/>
        <family val="2"/>
        <scheme val="minor"/>
      </rPr>
      <t xml:space="preserve">
</t>
    </r>
    <r>
      <rPr>
        <i/>
        <sz val="10"/>
        <color theme="1"/>
        <rFont val="Calibri"/>
        <family val="2"/>
        <scheme val="minor"/>
      </rPr>
      <t>(marine terminals, rail yards, transportation infrastructure)</t>
    </r>
  </si>
  <si>
    <t>Source: FEMA, analysis by Cambridge Systematics</t>
  </si>
  <si>
    <t>Source: NOAA, analysis by Cambridge Systematics</t>
  </si>
  <si>
    <t>Robust growth in alternative fuel adoption would bring about development of alt fuel and charging capacity at existing truck stops, service plazas, and fueling stations, and could bring a need for additional capacity at new facilties.  Those new facilties could potentially be accommodated at or adjacent to major terminals (ports, air cargo hubs, industrial clusters) and/or on commercial properties located along major highway corridors.  The Clean Freight Corridors Planning Study identified and prioritized highway corridors throughout the region for designation as clean freight corridors and development of alternative fueling and charging capacity.  The map below illustrates those corridors.</t>
  </si>
  <si>
    <t>Distributed manufacturing (DM) refers to the potential for three-dimensional (3D) printing to permit efficient production of goods near the points of demand, leading to many small factories situated in and serving many local markets. This contrasts with the long-standing imperative for factories to achieve economies of scale through mass production, and to locate large plants in limited numbers where the availability of raw materials, affordable skilled labor, etc.
Shipments to the MAP Forum region market of large volumes from some external sites in the U.S. or abroad, might be replaced by local shipments from points of production inside the region.  
The future role of DM in the region could include one or more of the following potential scenarios:
•  DM could acilitate onshoring of production (i.e., relocating some manufacturing from overseas to the U.S.) of some goods, particularly replacement parts, healthcare products, and construction materials.  This activity could occur in industrial zones throughout the region;
•  DM could facilitate a cottage industry of "make-at-home" parts and goods (including consumers making their own, or entrepreneurs producing at a small scale) in industrial, commercial, residential, or other locations throughout the region;
•  DM could remain a "niche" activity with no measurable impact on production, logistics, and/or land use.</t>
  </si>
  <si>
    <t>Over the past decade, e-commerce has increased its share of retail sales, growing from 5% of retail sales in 2012 to 14% in 2021.  E-commerce is impacting supply chains in many ways, including driving demand for warehousing and fulfillment center development nationally and here in this region.  This increase in demand for space could further trends that are already affecting the industrial real estate market.  New industrial buildings will be constructed on industrial and agricultural lands, older industrial buildings could be modernized or redeveloped, and commercial spaces such as retail and office buildings are and could continue to be repurposed to facilitate e-commerce logistics.  The map below illustrates the distribution of industrial, agricultural, and commercial land uses across the MAP Forum region, where these developments, redevelopments, and repurposings could potentially occur. 
The potential growth scenarios for e-commerce and associated warehousing demand by 2050 range from:
• Low-growth scenario, in which e-commerce sales increase by 350% and represent 30% of total retail sales.  In this scenario, the amount of warehousing space required to stage, fulfill, and ship orders would increase by 250%; to
• High-growth scenario, in which e-commerce sales increase by 900% and represent over 50% of total retail sales.  In this scenario, the amount of warehousing space required to stage, fulfill and ship orders would increase by 650%.</t>
  </si>
  <si>
    <t xml:space="preserve">Superstorm Sandy in 2012 and the heavy rains associated with the remnants of Hurricane Ida in 2021 demonstrated the severe economic and social burdens that extreme weather can inflict upon the region's freight infrastructure and economy.  Rising sea levels will, over time, exacerbate storm surge and climate change could increse the severity and frequency of extreme precipitation and temperature events.
Approximately 9% of the freight-generating and freight-handling land in the region is within a Special Flood Hazard Area, as defined by FEMA.  In addition, sea levels could rise by 1 foot by 2050.  The sea level could rise 3-5 feet by year 2100.  The table below shows the proportion of freight-generating, freight-receiving, and freight-handling lands in the region that could be affected by 1-foot or 5-foot rises in sea level.
In response to the risks associated with flood events and rising seas, there are two potential future scenarios regarding freight land use:
•  Industrial real estate developers, land owners, and others, invest in constructing flood walls or other preventative measures in order to protect land and facilities that generate, receive, and/or handle freight.  This increases development and real estate costs.
•  Freight-generating and freight-handling  land uses are relocated to areas less prone to flooding or sea level rise.  This could spur new development in parts of the region that may or may not have clisters of freight-generating or freight-handling faciltiies at present.
</t>
  </si>
  <si>
    <t xml:space="preserve">Population growth is a driver of freight demand.  More people represent more consumer spending, and more economic activity.  Since 2000, population growth in the MAP Forum region has been greatest in the urban core areas (New York City; Hudson County, NJ; etc.), reversing the trend of suburban sprawl that had occurred through the second half of the 20th century.  
The following population growth scenarios could impact freight land use demand and distribution in the future:
• If population growth in the future continues to remain strongest in the urban core, then demand for distribution center and fulfillment center space will be greatest in those urban areas.  For many companies, the higher costs of acquiring, developing, or redeveloping land and brownfields will be justified by having access to the large consumer market and being able to offer same-day or next-day delivery service.  In this scenario, distribution centers may continue being developed in exurban and peripheral areas, many of which may serve regional or national distribution, and/or import/export moves through the international trade gateways (port, airports, etc.).  
• If the recent population growth trend reverses, and population growth shifts to suburban and exurban areas, a proliferation of distribution and fulfillment centers is likely to be more widely distributed to serve a more widely distributed consumer market.  The advantages associated with urban core locations may be diminished relative to the first scenario, leading to less urban development, redevelopment, and brownfield redevelopment.  
•  If population growth in the entire region stalls relative to other regions of the country, there may be less demand for and development of e-commerce fulfillment and last-mile distribution centers.  However, there could be more demand for facilities that serve mega-regional or national distribution and/or facilitate imports/exports from the region's international gateways to and from consumers in other regions of the country. </t>
  </si>
  <si>
    <t xml:space="preserve">Diesel emissions have impacts upon the natural environment (greenhouse gases) and human enviornmnent (particulate matter).  Transitioning medium-duty and heavy-duty trucks to electric or other alternative fuel sources is likely to occur over time, but the timing and extent of the transition is likely determinable by the relative costs of acquiring, fueling, and maintaining the vehicles over time.  
Transitioning truck fleets to electric or other alternative fuel sources could have implications for freight land use.  Two scenarios are provided for consideration:
•  Very little transition to electric or other alternative fuels occurs, in turn having little impact on freight land use; or
•  Robust growth in electric or other alternative fuel adoption among truck fleets.  This scenario would bring about development of alt fuel and charging capacity at existing truck stops, service plazas, and fueling stations, and could bring a need for additional capacity at new facilties.  Those new facilties could potentially be accommodated at or adjacent to major terminals (ports, air cargo hubs, industrial clusters) and/or on commercial properties located along major highway corridors.  The Clean Freight Corridors Planning Study identified and prioritized highway corridors throughout the region for designation as clean freight corridors and development of alternative fueling and charging capacity.  The map below illustrates those corridors.
</t>
  </si>
  <si>
    <t>County</t>
  </si>
  <si>
    <t>Bronx</t>
  </si>
  <si>
    <t>Kings</t>
  </si>
  <si>
    <t>New York</t>
  </si>
  <si>
    <t>Queens</t>
  </si>
  <si>
    <t>Richmond</t>
  </si>
  <si>
    <t>NYC</t>
  </si>
  <si>
    <t>Nassau</t>
  </si>
  <si>
    <t>Suffolk</t>
  </si>
  <si>
    <t>Westchester</t>
  </si>
  <si>
    <t>Putnam</t>
  </si>
  <si>
    <t>Rockland</t>
  </si>
  <si>
    <t>Orange</t>
  </si>
  <si>
    <t>Bergen</t>
  </si>
  <si>
    <t xml:space="preserve">Essex </t>
  </si>
  <si>
    <t>Hudson</t>
  </si>
  <si>
    <t>Middlesex</t>
  </si>
  <si>
    <t>Monmouth</t>
  </si>
  <si>
    <t>Morris</t>
  </si>
  <si>
    <t>Ocean</t>
  </si>
  <si>
    <t>Passaic</t>
  </si>
  <si>
    <t>Somerset</t>
  </si>
  <si>
    <t>Sussex</t>
  </si>
  <si>
    <t>Union</t>
  </si>
  <si>
    <t>Warren</t>
  </si>
  <si>
    <t>Hunterdon</t>
  </si>
  <si>
    <t>Northampton</t>
  </si>
  <si>
    <t>Fairfield</t>
  </si>
  <si>
    <t>New Haven</t>
  </si>
  <si>
    <t>Hartford</t>
  </si>
  <si>
    <t>Lehigh</t>
  </si>
  <si>
    <t>NY Suburbs</t>
  </si>
  <si>
    <t>NJ Subtotal</t>
  </si>
  <si>
    <t>NJ Less Hudson</t>
  </si>
  <si>
    <t>Lehigh Valley Subtotal</t>
  </si>
  <si>
    <t>CT Subtotal</t>
  </si>
  <si>
    <t>Change</t>
  </si>
  <si>
    <t>1980-1990</t>
  </si>
  <si>
    <t>1990-2000</t>
  </si>
  <si>
    <t>2000-2010</t>
  </si>
  <si>
    <t>2010-2020</t>
  </si>
  <si>
    <t>2000-2020</t>
  </si>
  <si>
    <t>1980-2020</t>
  </si>
  <si>
    <t>Whole Region</t>
  </si>
  <si>
    <t>Pct Change</t>
  </si>
  <si>
    <t>New York City</t>
  </si>
  <si>
    <t>Suburban NY</t>
  </si>
  <si>
    <t>Northern NJ</t>
  </si>
  <si>
    <t>Lehigh Valley</t>
  </si>
  <si>
    <t>Southern and Central CT</t>
  </si>
  <si>
    <t>Subregion</t>
  </si>
  <si>
    <t>All Suburban Regions</t>
  </si>
  <si>
    <t>All Suburban Subregions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</si>
</sst>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2" x14ac:knownFonts="1">
    <font>
      <sz val="11"/>
      <color theme="1"/>
      <name val="Calibri"/>
      <family val="2"/>
      <scheme val="minor"/>
    </font>
    <font>
      <sz val="11"/>
      <color theme="1"/>
      <name val="Calibri"/>
      <family val="2"/>
      <scheme val="minor"/>
    </font>
    <font>
      <sz val="11"/>
      <name val="Calibri"/>
      <family val="2"/>
      <scheme val="minor"/>
    </font>
    <font>
      <sz val="11"/>
      <color rgb="FFFF0000"/>
      <name val="Calibri"/>
      <family val="2"/>
      <scheme val="minor"/>
    </font>
    <font>
      <sz val="9"/>
      <color rgb="FF000000"/>
      <name val="Arial"/>
      <family val="2"/>
    </font>
    <font>
      <u/>
      <sz val="9"/>
      <color rgb="FF2077B6"/>
      <name val="Arial"/>
      <family val="2"/>
    </font>
    <font>
      <b/>
      <sz val="16"/>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i/>
      <sz val="10"/>
      <color theme="1"/>
      <name val="Calibri"/>
      <family val="2"/>
      <scheme val="minor"/>
    </font>
  </fonts>
  <fills count="8">
    <fill>
      <patternFill patternType="none"/>
    </fill>
    <fill>
      <patternFill patternType="gray125"/>
    </fill>
    <fill>
      <patternFill patternType="solid">
        <fgColor theme="8" tint="0.59999389629810485"/>
        <bgColor theme="8" tint="0.59999389629810485"/>
      </patternFill>
    </fill>
    <fill>
      <patternFill patternType="solid">
        <fgColor theme="8" tint="0.79998168889431442"/>
        <bgColor theme="8" tint="0.79998168889431442"/>
      </patternFill>
    </fill>
    <fill>
      <patternFill patternType="solid">
        <fgColor theme="9" tint="0.59999389629810485"/>
        <bgColor indexed="65"/>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5">
    <xf numFmtId="0" fontId="0" fillId="0" borderId="0"/>
    <xf numFmtId="0" fontId="1" fillId="4"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cellStyleXfs>
  <cellXfs count="30">
    <xf numFmtId="0" fontId="0" fillId="0" borderId="0" xfId="0"/>
    <xf numFmtId="0" fontId="0" fillId="0" borderId="0" xfId="0" applyAlignment="1">
      <alignment horizontal="left" vertical="top" wrapText="1"/>
    </xf>
    <xf numFmtId="0" fontId="0" fillId="2" borderId="1" xfId="0" applyFont="1" applyFill="1" applyBorder="1" applyAlignment="1">
      <alignment horizontal="left" vertical="top" wrapText="1"/>
    </xf>
    <xf numFmtId="0" fontId="0" fillId="3" borderId="1" xfId="0" applyFont="1" applyFill="1" applyBorder="1" applyAlignment="1">
      <alignment horizontal="left" vertical="top" wrapText="1"/>
    </xf>
    <xf numFmtId="0" fontId="1" fillId="4" borderId="0" xfId="1" applyAlignment="1">
      <alignment horizontal="left" vertical="top" wrapText="1"/>
    </xf>
    <xf numFmtId="0" fontId="2" fillId="4" borderId="0" xfId="1" applyFont="1" applyAlignment="1">
      <alignment horizontal="left" vertical="top" wrapText="1"/>
    </xf>
    <xf numFmtId="0" fontId="3" fillId="3" borderId="1" xfId="0" applyFont="1" applyFill="1" applyBorder="1" applyAlignment="1">
      <alignment horizontal="left" vertical="top" wrapText="1"/>
    </xf>
    <xf numFmtId="0" fontId="0" fillId="2" borderId="0" xfId="0" applyFont="1" applyFill="1" applyBorder="1" applyAlignment="1">
      <alignment horizontal="left" vertical="top" wrapText="1"/>
    </xf>
    <xf numFmtId="0" fontId="3" fillId="3" borderId="0"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0" borderId="0" xfId="0" applyAlignment="1">
      <alignment wrapText="1"/>
    </xf>
    <xf numFmtId="9" fontId="0" fillId="0" borderId="0" xfId="3" applyFont="1"/>
    <xf numFmtId="164" fontId="0" fillId="0" borderId="0" xfId="3" applyNumberFormat="1" applyFont="1"/>
    <xf numFmtId="9" fontId="0" fillId="0" borderId="0" xfId="0" applyNumberFormat="1"/>
    <xf numFmtId="165" fontId="0" fillId="0" borderId="0" xfId="0" applyNumberFormat="1"/>
    <xf numFmtId="165" fontId="4" fillId="0" borderId="0" xfId="0" applyNumberFormat="1" applyFont="1"/>
    <xf numFmtId="165" fontId="0" fillId="0" borderId="0" xfId="2" applyNumberFormat="1" applyFont="1"/>
    <xf numFmtId="0" fontId="6" fillId="0" borderId="0" xfId="0" applyFont="1"/>
    <xf numFmtId="0" fontId="7" fillId="0" borderId="0" xfId="4"/>
    <xf numFmtId="164" fontId="0" fillId="0" borderId="0" xfId="0" applyNumberFormat="1"/>
    <xf numFmtId="0" fontId="8" fillId="5" borderId="2" xfId="0" applyFont="1" applyFill="1" applyBorder="1"/>
    <xf numFmtId="0" fontId="0" fillId="6" borderId="2" xfId="0" applyFont="1" applyFill="1" applyBorder="1" applyAlignment="1">
      <alignment wrapText="1"/>
    </xf>
    <xf numFmtId="0" fontId="0" fillId="0" borderId="0" xfId="0" applyAlignment="1">
      <alignment vertical="top" wrapText="1"/>
    </xf>
    <xf numFmtId="0" fontId="10" fillId="0" borderId="0" xfId="0" applyFont="1"/>
    <xf numFmtId="0" fontId="8" fillId="5" borderId="3" xfId="0" applyFont="1" applyFill="1" applyBorder="1" applyAlignment="1">
      <alignment wrapText="1"/>
    </xf>
    <xf numFmtId="164" fontId="0" fillId="6" borderId="3" xfId="0" applyNumberFormat="1" applyFont="1" applyFill="1" applyBorder="1"/>
    <xf numFmtId="0" fontId="0" fillId="7" borderId="0" xfId="0" applyFill="1" applyAlignment="1">
      <alignment wrapText="1"/>
    </xf>
    <xf numFmtId="0" fontId="0" fillId="7" borderId="0" xfId="0" applyFill="1" applyAlignment="1">
      <alignment horizontal="left" vertical="top" wrapText="1"/>
    </xf>
    <xf numFmtId="0" fontId="0" fillId="7" borderId="0" xfId="0" applyFill="1" applyAlignment="1">
      <alignment horizontal="left" wrapText="1"/>
    </xf>
    <xf numFmtId="165" fontId="7" fillId="0" borderId="0" xfId="4" applyNumberFormat="1"/>
  </cellXfs>
  <cellStyles count="5">
    <cellStyle name="40% - Accent6" xfId="1" builtinId="51"/>
    <cellStyle name="Comma" xfId="2" builtinId="3"/>
    <cellStyle name="Hyperlink" xfId="4" builtinId="8"/>
    <cellStyle name="Normal" xfId="0" builtinId="0"/>
    <cellStyle name="Percent" xfId="3" builtinId="5"/>
  </cellStyles>
  <dxfs count="10">
    <dxf>
      <numFmt numFmtId="164" formatCode="0.0%"/>
    </dxf>
    <dxf>
      <numFmt numFmtId="164" formatCode="0.0%"/>
    </dxf>
    <dxf>
      <alignment horizontal="general" vertical="bottom"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Change in Population by Subregion by Decade, 1980-2020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Population!$AB$7</c:f>
              <c:strCache>
                <c:ptCount val="1"/>
                <c:pt idx="0">
                  <c:v>New York City</c:v>
                </c:pt>
              </c:strCache>
            </c:strRef>
          </c:tx>
          <c:spPr>
            <a:ln w="28575" cap="rnd">
              <a:solidFill>
                <a:schemeClr val="accent1"/>
              </a:solidFill>
              <a:round/>
            </a:ln>
            <a:effectLst/>
          </c:spPr>
          <c:marker>
            <c:symbol val="none"/>
          </c:marker>
          <c:cat>
            <c:strRef>
              <c:f>Population!$AC$6:$AF$6</c:f>
              <c:strCache>
                <c:ptCount val="4"/>
                <c:pt idx="0">
                  <c:v>1980-1990</c:v>
                </c:pt>
                <c:pt idx="1">
                  <c:v>1990-2000</c:v>
                </c:pt>
                <c:pt idx="2">
                  <c:v>2000-2010</c:v>
                </c:pt>
                <c:pt idx="3">
                  <c:v>2010-2020</c:v>
                </c:pt>
              </c:strCache>
            </c:strRef>
          </c:cat>
          <c:val>
            <c:numRef>
              <c:f>Population!$AC$7:$AF$7</c:f>
              <c:numCache>
                <c:formatCode>0.0%</c:formatCode>
                <c:ptCount val="4"/>
                <c:pt idx="0">
                  <c:v>3.5496759054277655E-2</c:v>
                </c:pt>
                <c:pt idx="1">
                  <c:v>9.3643974979255903E-2</c:v>
                </c:pt>
                <c:pt idx="2">
                  <c:v>2.0835315657123789E-2</c:v>
                </c:pt>
                <c:pt idx="3">
                  <c:v>7.6947616632047453E-2</c:v>
                </c:pt>
              </c:numCache>
            </c:numRef>
          </c:val>
          <c:smooth val="0"/>
          <c:extLst>
            <c:ext xmlns:c16="http://schemas.microsoft.com/office/drawing/2014/chart" uri="{C3380CC4-5D6E-409C-BE32-E72D297353CC}">
              <c16:uniqueId val="{00000000-7369-44A4-A9C3-4D83E21FCFB7}"/>
            </c:ext>
          </c:extLst>
        </c:ser>
        <c:ser>
          <c:idx val="1"/>
          <c:order val="1"/>
          <c:tx>
            <c:strRef>
              <c:f>Population!$AB$8</c:f>
              <c:strCache>
                <c:ptCount val="1"/>
                <c:pt idx="0">
                  <c:v>Suburban NY</c:v>
                </c:pt>
              </c:strCache>
            </c:strRef>
          </c:tx>
          <c:spPr>
            <a:ln w="28575" cap="rnd">
              <a:solidFill>
                <a:schemeClr val="accent2"/>
              </a:solidFill>
              <a:round/>
            </a:ln>
            <a:effectLst/>
          </c:spPr>
          <c:marker>
            <c:symbol val="none"/>
          </c:marker>
          <c:cat>
            <c:strRef>
              <c:f>Population!$AC$6:$AF$6</c:f>
              <c:strCache>
                <c:ptCount val="4"/>
                <c:pt idx="0">
                  <c:v>1980-1990</c:v>
                </c:pt>
                <c:pt idx="1">
                  <c:v>1990-2000</c:v>
                </c:pt>
                <c:pt idx="2">
                  <c:v>2000-2010</c:v>
                </c:pt>
                <c:pt idx="3">
                  <c:v>2010-2020</c:v>
                </c:pt>
              </c:strCache>
            </c:strRef>
          </c:cat>
          <c:val>
            <c:numRef>
              <c:f>Population!$AC$8:$AF$8</c:f>
              <c:numCache>
                <c:formatCode>General</c:formatCode>
                <c:ptCount val="4"/>
                <c:pt idx="0">
                  <c:v>1.7794952636419451E-2</c:v>
                </c:pt>
                <c:pt idx="1">
                  <c:v>6.2807810697583108E-2</c:v>
                </c:pt>
                <c:pt idx="2">
                  <c:v>3.7482189666223381E-2</c:v>
                </c:pt>
                <c:pt idx="3">
                  <c:v>4.3198454734292478E-2</c:v>
                </c:pt>
              </c:numCache>
            </c:numRef>
          </c:val>
          <c:smooth val="0"/>
          <c:extLst>
            <c:ext xmlns:c16="http://schemas.microsoft.com/office/drawing/2014/chart" uri="{C3380CC4-5D6E-409C-BE32-E72D297353CC}">
              <c16:uniqueId val="{00000001-7369-44A4-A9C3-4D83E21FCFB7}"/>
            </c:ext>
          </c:extLst>
        </c:ser>
        <c:ser>
          <c:idx val="2"/>
          <c:order val="2"/>
          <c:tx>
            <c:strRef>
              <c:f>Population!$AB$9</c:f>
              <c:strCache>
                <c:ptCount val="1"/>
                <c:pt idx="0">
                  <c:v>Northern NJ</c:v>
                </c:pt>
              </c:strCache>
            </c:strRef>
          </c:tx>
          <c:spPr>
            <a:ln w="28575" cap="rnd">
              <a:solidFill>
                <a:schemeClr val="accent3"/>
              </a:solidFill>
              <a:round/>
            </a:ln>
            <a:effectLst/>
          </c:spPr>
          <c:marker>
            <c:symbol val="none"/>
          </c:marker>
          <c:cat>
            <c:strRef>
              <c:f>Population!$AC$6:$AF$6</c:f>
              <c:strCache>
                <c:ptCount val="4"/>
                <c:pt idx="0">
                  <c:v>1980-1990</c:v>
                </c:pt>
                <c:pt idx="1">
                  <c:v>1990-2000</c:v>
                </c:pt>
                <c:pt idx="2">
                  <c:v>2000-2010</c:v>
                </c:pt>
                <c:pt idx="3">
                  <c:v>2010-2020</c:v>
                </c:pt>
              </c:strCache>
            </c:strRef>
          </c:cat>
          <c:val>
            <c:numRef>
              <c:f>Population!$AC$9:$AF$9</c:f>
              <c:numCache>
                <c:formatCode>General</c:formatCode>
                <c:ptCount val="4"/>
                <c:pt idx="0">
                  <c:v>3.6855806839004149E-2</c:v>
                </c:pt>
                <c:pt idx="1">
                  <c:v>9.6871035654193208E-2</c:v>
                </c:pt>
                <c:pt idx="2">
                  <c:v>4.2611070943080392E-2</c:v>
                </c:pt>
                <c:pt idx="3">
                  <c:v>6.7679072059833062E-2</c:v>
                </c:pt>
              </c:numCache>
            </c:numRef>
          </c:val>
          <c:smooth val="0"/>
          <c:extLst>
            <c:ext xmlns:c16="http://schemas.microsoft.com/office/drawing/2014/chart" uri="{C3380CC4-5D6E-409C-BE32-E72D297353CC}">
              <c16:uniqueId val="{00000002-7369-44A4-A9C3-4D83E21FCFB7}"/>
            </c:ext>
          </c:extLst>
        </c:ser>
        <c:ser>
          <c:idx val="3"/>
          <c:order val="3"/>
          <c:tx>
            <c:strRef>
              <c:f>Population!$AB$10</c:f>
              <c:strCache>
                <c:ptCount val="1"/>
                <c:pt idx="0">
                  <c:v>Lehigh Valley</c:v>
                </c:pt>
              </c:strCache>
            </c:strRef>
          </c:tx>
          <c:spPr>
            <a:ln w="28575" cap="rnd">
              <a:solidFill>
                <a:schemeClr val="accent4"/>
              </a:solidFill>
              <a:round/>
            </a:ln>
            <a:effectLst/>
          </c:spPr>
          <c:marker>
            <c:symbol val="none"/>
          </c:marker>
          <c:cat>
            <c:strRef>
              <c:f>Population!$AC$6:$AF$6</c:f>
              <c:strCache>
                <c:ptCount val="4"/>
                <c:pt idx="0">
                  <c:v>1980-1990</c:v>
                </c:pt>
                <c:pt idx="1">
                  <c:v>1990-2000</c:v>
                </c:pt>
                <c:pt idx="2">
                  <c:v>2000-2010</c:v>
                </c:pt>
                <c:pt idx="3">
                  <c:v>2010-2020</c:v>
                </c:pt>
              </c:strCache>
            </c:strRef>
          </c:cat>
          <c:val>
            <c:numRef>
              <c:f>Population!$AC$10:$AF$10</c:f>
              <c:numCache>
                <c:formatCode>General</c:formatCode>
                <c:ptCount val="4"/>
                <c:pt idx="0">
                  <c:v>8.129908169886714E-2</c:v>
                </c:pt>
                <c:pt idx="1">
                  <c:v>7.6028128977119663E-2</c:v>
                </c:pt>
                <c:pt idx="2">
                  <c:v>0.11754345979321633</c:v>
                </c:pt>
                <c:pt idx="3">
                  <c:v>6.2228072777612976E-2</c:v>
                </c:pt>
              </c:numCache>
            </c:numRef>
          </c:val>
          <c:smooth val="0"/>
          <c:extLst>
            <c:ext xmlns:c16="http://schemas.microsoft.com/office/drawing/2014/chart" uri="{C3380CC4-5D6E-409C-BE32-E72D297353CC}">
              <c16:uniqueId val="{00000003-7369-44A4-A9C3-4D83E21FCFB7}"/>
            </c:ext>
          </c:extLst>
        </c:ser>
        <c:ser>
          <c:idx val="4"/>
          <c:order val="4"/>
          <c:tx>
            <c:strRef>
              <c:f>Population!$AB$11</c:f>
              <c:strCache>
                <c:ptCount val="1"/>
                <c:pt idx="0">
                  <c:v>Southern and Central CT</c:v>
                </c:pt>
              </c:strCache>
            </c:strRef>
          </c:tx>
          <c:spPr>
            <a:ln w="28575" cap="rnd">
              <a:solidFill>
                <a:schemeClr val="accent5"/>
              </a:solidFill>
              <a:round/>
            </a:ln>
            <a:effectLst/>
          </c:spPr>
          <c:marker>
            <c:symbol val="none"/>
          </c:marker>
          <c:cat>
            <c:strRef>
              <c:f>Population!$AC$6:$AF$6</c:f>
              <c:strCache>
                <c:ptCount val="4"/>
                <c:pt idx="0">
                  <c:v>1980-1990</c:v>
                </c:pt>
                <c:pt idx="1">
                  <c:v>1990-2000</c:v>
                </c:pt>
                <c:pt idx="2">
                  <c:v>2000-2010</c:v>
                </c:pt>
                <c:pt idx="3">
                  <c:v>2010-2020</c:v>
                </c:pt>
              </c:strCache>
            </c:strRef>
          </c:cat>
          <c:val>
            <c:numRef>
              <c:f>Population!$AC$11:$AF$11</c:f>
              <c:numCache>
                <c:formatCode>General</c:formatCode>
                <c:ptCount val="4"/>
                <c:pt idx="0">
                  <c:v>4.8529834991376156E-2</c:v>
                </c:pt>
                <c:pt idx="1">
                  <c:v>3.5017699953899036E-2</c:v>
                </c:pt>
                <c:pt idx="2">
                  <c:v>4.4198072037630903E-2</c:v>
                </c:pt>
                <c:pt idx="3">
                  <c:v>1.6555500606552458E-2</c:v>
                </c:pt>
              </c:numCache>
            </c:numRef>
          </c:val>
          <c:smooth val="0"/>
          <c:extLst>
            <c:ext xmlns:c16="http://schemas.microsoft.com/office/drawing/2014/chart" uri="{C3380CC4-5D6E-409C-BE32-E72D297353CC}">
              <c16:uniqueId val="{00000005-7369-44A4-A9C3-4D83E21FCFB7}"/>
            </c:ext>
          </c:extLst>
        </c:ser>
        <c:dLbls>
          <c:showLegendKey val="0"/>
          <c:showVal val="0"/>
          <c:showCatName val="0"/>
          <c:showSerName val="0"/>
          <c:showPercent val="0"/>
          <c:showBubbleSize val="0"/>
        </c:dLbls>
        <c:smooth val="0"/>
        <c:axId val="1022674768"/>
        <c:axId val="1022671024"/>
      </c:lineChart>
      <c:catAx>
        <c:axId val="1022674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2671024"/>
        <c:crosses val="autoZero"/>
        <c:auto val="1"/>
        <c:lblAlgn val="ctr"/>
        <c:lblOffset val="100"/>
        <c:noMultiLvlLbl val="0"/>
      </c:catAx>
      <c:valAx>
        <c:axId val="10226710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26747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Population Growth by Decade, NYC and Suburban/Rural</a:t>
            </a:r>
            <a:r>
              <a:rPr lang="en-US" baseline="0"/>
              <a:t> Subregions, 1980-2020</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Population!$AA$35</c:f>
              <c:strCache>
                <c:ptCount val="1"/>
                <c:pt idx="0">
                  <c:v>New York City</c:v>
                </c:pt>
              </c:strCache>
            </c:strRef>
          </c:tx>
          <c:spPr>
            <a:ln w="28575" cap="rnd">
              <a:solidFill>
                <a:schemeClr val="accent1"/>
              </a:solidFill>
              <a:round/>
            </a:ln>
            <a:effectLst/>
          </c:spPr>
          <c:marker>
            <c:symbol val="none"/>
          </c:marker>
          <c:cat>
            <c:strRef>
              <c:f>Population!$AB$34:$AE$34</c:f>
              <c:strCache>
                <c:ptCount val="4"/>
                <c:pt idx="0">
                  <c:v>1980-1990</c:v>
                </c:pt>
                <c:pt idx="1">
                  <c:v>1990-2000</c:v>
                </c:pt>
                <c:pt idx="2">
                  <c:v>2000-2010</c:v>
                </c:pt>
                <c:pt idx="3">
                  <c:v>2010-2020</c:v>
                </c:pt>
              </c:strCache>
            </c:strRef>
          </c:cat>
          <c:val>
            <c:numRef>
              <c:f>Population!$AB$35:$AE$35</c:f>
              <c:numCache>
                <c:formatCode>0%</c:formatCode>
                <c:ptCount val="4"/>
                <c:pt idx="0">
                  <c:v>3.5496759054277655E-2</c:v>
                </c:pt>
                <c:pt idx="1">
                  <c:v>9.3643974979255903E-2</c:v>
                </c:pt>
                <c:pt idx="2">
                  <c:v>2.0835315657123789E-2</c:v>
                </c:pt>
                <c:pt idx="3">
                  <c:v>7.6947616632047453E-2</c:v>
                </c:pt>
              </c:numCache>
            </c:numRef>
          </c:val>
          <c:smooth val="0"/>
          <c:extLst>
            <c:ext xmlns:c16="http://schemas.microsoft.com/office/drawing/2014/chart" uri="{C3380CC4-5D6E-409C-BE32-E72D297353CC}">
              <c16:uniqueId val="{00000000-C62A-428C-A69B-523458D68508}"/>
            </c:ext>
          </c:extLst>
        </c:ser>
        <c:ser>
          <c:idx val="1"/>
          <c:order val="1"/>
          <c:tx>
            <c:strRef>
              <c:f>Population!$AA$36</c:f>
              <c:strCache>
                <c:ptCount val="1"/>
                <c:pt idx="0">
                  <c:v>All Suburban Subregions</c:v>
                </c:pt>
              </c:strCache>
            </c:strRef>
          </c:tx>
          <c:spPr>
            <a:ln w="28575" cap="rnd">
              <a:solidFill>
                <a:schemeClr val="accent2"/>
              </a:solidFill>
              <a:prstDash val="sysDash"/>
              <a:round/>
            </a:ln>
            <a:effectLst/>
          </c:spPr>
          <c:marker>
            <c:symbol val="none"/>
          </c:marker>
          <c:cat>
            <c:strRef>
              <c:f>Population!$AB$34:$AE$34</c:f>
              <c:strCache>
                <c:ptCount val="4"/>
                <c:pt idx="0">
                  <c:v>1980-1990</c:v>
                </c:pt>
                <c:pt idx="1">
                  <c:v>1990-2000</c:v>
                </c:pt>
                <c:pt idx="2">
                  <c:v>2000-2010</c:v>
                </c:pt>
                <c:pt idx="3">
                  <c:v>2010-2020</c:v>
                </c:pt>
              </c:strCache>
            </c:strRef>
          </c:cat>
          <c:val>
            <c:numRef>
              <c:f>Population!$AB$36:$AE$36</c:f>
              <c:numCache>
                <c:formatCode>0%</c:formatCode>
                <c:ptCount val="4"/>
                <c:pt idx="0">
                  <c:v>3.4781092919035757E-2</c:v>
                </c:pt>
                <c:pt idx="1">
                  <c:v>7.2769836218614492E-2</c:v>
                </c:pt>
                <c:pt idx="2">
                  <c:v>4.4405398319839723E-2</c:v>
                </c:pt>
                <c:pt idx="3">
                  <c:v>4.9879376777740264E-2</c:v>
                </c:pt>
              </c:numCache>
            </c:numRef>
          </c:val>
          <c:smooth val="0"/>
          <c:extLst>
            <c:ext xmlns:c16="http://schemas.microsoft.com/office/drawing/2014/chart" uri="{C3380CC4-5D6E-409C-BE32-E72D297353CC}">
              <c16:uniqueId val="{00000001-C62A-428C-A69B-523458D68508}"/>
            </c:ext>
          </c:extLst>
        </c:ser>
        <c:dLbls>
          <c:showLegendKey val="0"/>
          <c:showVal val="0"/>
          <c:showCatName val="0"/>
          <c:showSerName val="0"/>
          <c:showPercent val="0"/>
          <c:showBubbleSize val="0"/>
        </c:dLbls>
        <c:smooth val="0"/>
        <c:axId val="1561041152"/>
        <c:axId val="1561044064"/>
      </c:lineChart>
      <c:catAx>
        <c:axId val="1561041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1044064"/>
        <c:crosses val="autoZero"/>
        <c:auto val="1"/>
        <c:lblAlgn val="ctr"/>
        <c:lblOffset val="100"/>
        <c:noMultiLvlLbl val="0"/>
      </c:catAx>
      <c:valAx>
        <c:axId val="1561044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1041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E-Commerce Growth Scenarios (E-Commerce as Percent of Retail)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'1'!$B$5</c:f>
              <c:strCache>
                <c:ptCount val="1"/>
                <c:pt idx="0">
                  <c:v>Base</c:v>
                </c:pt>
              </c:strCache>
            </c:strRef>
          </c:tx>
          <c:spPr>
            <a:ln w="28575" cap="rnd">
              <a:solidFill>
                <a:schemeClr val="accent1"/>
              </a:solidFill>
              <a:round/>
            </a:ln>
            <a:effectLst/>
          </c:spPr>
          <c:marker>
            <c:symbol val="none"/>
          </c:marker>
          <c:cat>
            <c:numRef>
              <c:f>'1'!$A$6:$A$44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'1'!$B$6:$B$44</c:f>
              <c:numCache>
                <c:formatCode>0%</c:formatCode>
                <c:ptCount val="39"/>
                <c:pt idx="0">
                  <c:v>0.05</c:v>
                </c:pt>
                <c:pt idx="1">
                  <c:v>5.7999999999999996E-2</c:v>
                </c:pt>
                <c:pt idx="2">
                  <c:v>6.0999999999999999E-2</c:v>
                </c:pt>
                <c:pt idx="3">
                  <c:v>6.9000000000000006E-2</c:v>
                </c:pt>
                <c:pt idx="4">
                  <c:v>7.6999999999999999E-2</c:v>
                </c:pt>
                <c:pt idx="5">
                  <c:v>8.5000000000000006E-2</c:v>
                </c:pt>
                <c:pt idx="6">
                  <c:v>9.3000000000000013E-2</c:v>
                </c:pt>
                <c:pt idx="7">
                  <c:v>0.1</c:v>
                </c:pt>
                <c:pt idx="8">
                  <c:v>0.12</c:v>
                </c:pt>
                <c:pt idx="9">
                  <c:v>0.13600000000000001</c:v>
                </c:pt>
                <c:pt idx="10">
                  <c:v>0.14194320000000002</c:v>
                </c:pt>
                <c:pt idx="11">
                  <c:v>0.14814611784000001</c:v>
                </c:pt>
                <c:pt idx="12">
                  <c:v>0.15462010318960803</c:v>
                </c:pt>
                <c:pt idx="13">
                  <c:v>0.16137700169899394</c:v>
                </c:pt>
                <c:pt idx="14">
                  <c:v>0.16842917667323998</c:v>
                </c:pt>
                <c:pt idx="15">
                  <c:v>0.17578953169386058</c:v>
                </c:pt>
                <c:pt idx="16">
                  <c:v>0.18347153422888229</c:v>
                </c:pt>
                <c:pt idx="17">
                  <c:v>0.19148924027468447</c:v>
                </c:pt>
                <c:pt idx="18">
                  <c:v>0.19985732007468818</c:v>
                </c:pt>
                <c:pt idx="19">
                  <c:v>0.20859108496195208</c:v>
                </c:pt>
                <c:pt idx="20">
                  <c:v>0.21770651537478941</c:v>
                </c:pt>
                <c:pt idx="21">
                  <c:v>0.22722029009666772</c:v>
                </c:pt>
                <c:pt idx="22">
                  <c:v>0.2371498167738921</c:v>
                </c:pt>
                <c:pt idx="23">
                  <c:v>0.24751326376691121</c:v>
                </c:pt>
                <c:pt idx="24">
                  <c:v>0.25832959339352524</c:v>
                </c:pt>
                <c:pt idx="25">
                  <c:v>0.26961859662482229</c:v>
                </c:pt>
                <c:pt idx="26">
                  <c:v>0.28140092929732707</c:v>
                </c:pt>
                <c:pt idx="27">
                  <c:v>0.29369814990762028</c:v>
                </c:pt>
                <c:pt idx="28">
                  <c:v>0.30653275905858329</c:v>
                </c:pt>
                <c:pt idx="29">
                  <c:v>0.31992824062944342</c:v>
                </c:pt>
                <c:pt idx="30">
                  <c:v>0.33390910474495006</c:v>
                </c:pt>
                <c:pt idx="31">
                  <c:v>0.34850093262230447</c:v>
                </c:pt>
                <c:pt idx="32">
                  <c:v>0.36373042337789918</c:v>
                </c:pt>
                <c:pt idx="33">
                  <c:v>0.37962544287951339</c:v>
                </c:pt>
                <c:pt idx="34">
                  <c:v>0.39621507473334816</c:v>
                </c:pt>
                <c:pt idx="35">
                  <c:v>0.4135296734991955</c:v>
                </c:pt>
                <c:pt idx="36">
                  <c:v>0.43160092023111041</c:v>
                </c:pt>
                <c:pt idx="37">
                  <c:v>0.45046188044520996</c:v>
                </c:pt>
                <c:pt idx="38">
                  <c:v>0.47014706462066563</c:v>
                </c:pt>
              </c:numCache>
            </c:numRef>
          </c:val>
          <c:smooth val="0"/>
          <c:extLst>
            <c:ext xmlns:c16="http://schemas.microsoft.com/office/drawing/2014/chart" uri="{C3380CC4-5D6E-409C-BE32-E72D297353CC}">
              <c16:uniqueId val="{00000000-3D37-45A4-A3AA-174A2C9F3214}"/>
            </c:ext>
          </c:extLst>
        </c:ser>
        <c:ser>
          <c:idx val="1"/>
          <c:order val="1"/>
          <c:tx>
            <c:strRef>
              <c:f>'1'!$C$5</c:f>
              <c:strCache>
                <c:ptCount val="1"/>
                <c:pt idx="0">
                  <c:v>High</c:v>
                </c:pt>
              </c:strCache>
            </c:strRef>
          </c:tx>
          <c:spPr>
            <a:ln w="28575" cap="rnd">
              <a:solidFill>
                <a:schemeClr val="accent2"/>
              </a:solidFill>
              <a:round/>
            </a:ln>
            <a:effectLst/>
          </c:spPr>
          <c:marker>
            <c:symbol val="none"/>
          </c:marker>
          <c:cat>
            <c:numRef>
              <c:f>'1'!$A$6:$A$44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'1'!$C$6:$C$44</c:f>
              <c:numCache>
                <c:formatCode>0%</c:formatCode>
                <c:ptCount val="39"/>
                <c:pt idx="0">
                  <c:v>0.05</c:v>
                </c:pt>
                <c:pt idx="1">
                  <c:v>5.7999999999999996E-2</c:v>
                </c:pt>
                <c:pt idx="2">
                  <c:v>6.0999999999999999E-2</c:v>
                </c:pt>
                <c:pt idx="3">
                  <c:v>6.9000000000000006E-2</c:v>
                </c:pt>
                <c:pt idx="4">
                  <c:v>7.6999999999999999E-2</c:v>
                </c:pt>
                <c:pt idx="5">
                  <c:v>8.5000000000000006E-2</c:v>
                </c:pt>
                <c:pt idx="6">
                  <c:v>9.3000000000000013E-2</c:v>
                </c:pt>
                <c:pt idx="7">
                  <c:v>0.1</c:v>
                </c:pt>
                <c:pt idx="8">
                  <c:v>0.12</c:v>
                </c:pt>
                <c:pt idx="9">
                  <c:v>0.13600000000000001</c:v>
                </c:pt>
                <c:pt idx="10" formatCode="0.0%">
                  <c:v>0.143208</c:v>
                </c:pt>
                <c:pt idx="11" formatCode="0.0%">
                  <c:v>0.150798024</c:v>
                </c:pt>
                <c:pt idx="12" formatCode="0.0%">
                  <c:v>0.15879031927199999</c:v>
                </c:pt>
                <c:pt idx="13" formatCode="0.0%">
                  <c:v>0.16720620619341597</c:v>
                </c:pt>
                <c:pt idx="14" formatCode="0.0%">
                  <c:v>0.176068135121667</c:v>
                </c:pt>
                <c:pt idx="15" formatCode="0.0%">
                  <c:v>0.18539974628311534</c:v>
                </c:pt>
                <c:pt idx="16" formatCode="0.0%">
                  <c:v>0.19522593283612044</c:v>
                </c:pt>
                <c:pt idx="17" formatCode="0.0%">
                  <c:v>0.20557290727643482</c:v>
                </c:pt>
                <c:pt idx="18" formatCode="0.0%">
                  <c:v>0.21646827136208585</c:v>
                </c:pt>
                <c:pt idx="19" formatCode="0.0%">
                  <c:v>0.22794108974427638</c:v>
                </c:pt>
                <c:pt idx="20" formatCode="0.0%">
                  <c:v>0.24002196750072302</c:v>
                </c:pt>
                <c:pt idx="21" formatCode="0.0%">
                  <c:v>0.2527431317782613</c:v>
                </c:pt>
                <c:pt idx="22" formatCode="0.0%">
                  <c:v>0.26613851776250913</c:v>
                </c:pt>
                <c:pt idx="23" formatCode="0.0%">
                  <c:v>0.28024385920392209</c:v>
                </c:pt>
                <c:pt idx="24" formatCode="0.0%">
                  <c:v>0.29509678374172993</c:v>
                </c:pt>
                <c:pt idx="25" formatCode="0.0%">
                  <c:v>0.3107369132800416</c:v>
                </c:pt>
                <c:pt idx="26" formatCode="0.0%">
                  <c:v>0.32720596968388377</c:v>
                </c:pt>
                <c:pt idx="27" formatCode="0.0%">
                  <c:v>0.34454788607712961</c:v>
                </c:pt>
                <c:pt idx="28" formatCode="0.0%">
                  <c:v>0.36280892403921744</c:v>
                </c:pt>
                <c:pt idx="29" formatCode="0.0%">
                  <c:v>0.38203779701329593</c:v>
                </c:pt>
                <c:pt idx="30" formatCode="0.0%">
                  <c:v>0.4022858002550006</c:v>
                </c:pt>
                <c:pt idx="31" formatCode="0.0%">
                  <c:v>0.42360694766851559</c:v>
                </c:pt>
                <c:pt idx="32" formatCode="0.0%">
                  <c:v>0.44605811589494687</c:v>
                </c:pt>
                <c:pt idx="33" formatCode="0.0%">
                  <c:v>0.46969919603737903</c:v>
                </c:pt>
                <c:pt idx="34" formatCode="0.0%">
                  <c:v>0.4945932534273601</c:v>
                </c:pt>
                <c:pt idx="35" formatCode="0.0%">
                  <c:v>0.52080669585901018</c:v>
                </c:pt>
                <c:pt idx="36" formatCode="0.0%">
                  <c:v>0.54840945073953773</c:v>
                </c:pt>
                <c:pt idx="37" formatCode="0.0%">
                  <c:v>0.5774751516287332</c:v>
                </c:pt>
                <c:pt idx="38" formatCode="0.0%">
                  <c:v>0.6</c:v>
                </c:pt>
              </c:numCache>
            </c:numRef>
          </c:val>
          <c:smooth val="0"/>
          <c:extLst>
            <c:ext xmlns:c16="http://schemas.microsoft.com/office/drawing/2014/chart" uri="{C3380CC4-5D6E-409C-BE32-E72D297353CC}">
              <c16:uniqueId val="{00000001-3D37-45A4-A3AA-174A2C9F3214}"/>
            </c:ext>
          </c:extLst>
        </c:ser>
        <c:ser>
          <c:idx val="2"/>
          <c:order val="2"/>
          <c:tx>
            <c:strRef>
              <c:f>'1'!$D$5</c:f>
              <c:strCache>
                <c:ptCount val="1"/>
                <c:pt idx="0">
                  <c:v>Low</c:v>
                </c:pt>
              </c:strCache>
            </c:strRef>
          </c:tx>
          <c:spPr>
            <a:ln w="28575" cap="rnd">
              <a:solidFill>
                <a:schemeClr val="accent3"/>
              </a:solidFill>
              <a:round/>
            </a:ln>
            <a:effectLst/>
          </c:spPr>
          <c:marker>
            <c:symbol val="none"/>
          </c:marker>
          <c:cat>
            <c:numRef>
              <c:f>'1'!$A$6:$A$44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'1'!$D$6:$D$44</c:f>
              <c:numCache>
                <c:formatCode>0%</c:formatCode>
                <c:ptCount val="39"/>
                <c:pt idx="0">
                  <c:v>0.05</c:v>
                </c:pt>
                <c:pt idx="1">
                  <c:v>5.7999999999999996E-2</c:v>
                </c:pt>
                <c:pt idx="2">
                  <c:v>6.0999999999999999E-2</c:v>
                </c:pt>
                <c:pt idx="3">
                  <c:v>6.9000000000000006E-2</c:v>
                </c:pt>
                <c:pt idx="4">
                  <c:v>7.6999999999999999E-2</c:v>
                </c:pt>
                <c:pt idx="5">
                  <c:v>8.5000000000000006E-2</c:v>
                </c:pt>
                <c:pt idx="6">
                  <c:v>9.3000000000000013E-2</c:v>
                </c:pt>
                <c:pt idx="7">
                  <c:v>0.1</c:v>
                </c:pt>
                <c:pt idx="8">
                  <c:v>0.12</c:v>
                </c:pt>
                <c:pt idx="9">
                  <c:v>0.13600000000000001</c:v>
                </c:pt>
                <c:pt idx="10">
                  <c:v>0.14194320000000002</c:v>
                </c:pt>
                <c:pt idx="11">
                  <c:v>0.14814611784000001</c:v>
                </c:pt>
                <c:pt idx="12">
                  <c:v>0.15462010318960803</c:v>
                </c:pt>
                <c:pt idx="13">
                  <c:v>0.16137700169899394</c:v>
                </c:pt>
                <c:pt idx="14">
                  <c:v>0.16842917667323998</c:v>
                </c:pt>
                <c:pt idx="15">
                  <c:v>0.17578953169386058</c:v>
                </c:pt>
                <c:pt idx="16">
                  <c:v>0.18347153422888229</c:v>
                </c:pt>
                <c:pt idx="17">
                  <c:v>0.19148924027468447</c:v>
                </c:pt>
                <c:pt idx="18">
                  <c:v>0.19985732007468818</c:v>
                </c:pt>
                <c:pt idx="19">
                  <c:v>0.20859108496195208</c:v>
                </c:pt>
                <c:pt idx="20">
                  <c:v>0.21770651537478941</c:v>
                </c:pt>
                <c:pt idx="21">
                  <c:v>0.22722029009666772</c:v>
                </c:pt>
                <c:pt idx="22">
                  <c:v>0.2371498167738921</c:v>
                </c:pt>
                <c:pt idx="23">
                  <c:v>0.24751326376691121</c:v>
                </c:pt>
                <c:pt idx="24">
                  <c:v>0.25832959339352524</c:v>
                </c:pt>
                <c:pt idx="25">
                  <c:v>0.26961859662482229</c:v>
                </c:pt>
                <c:pt idx="26">
                  <c:v>0.28140092929732707</c:v>
                </c:pt>
                <c:pt idx="27">
                  <c:v>0.29369814990762028</c:v>
                </c:pt>
                <c:pt idx="28">
                  <c:v>0.3</c:v>
                </c:pt>
                <c:pt idx="29">
                  <c:v>0.3</c:v>
                </c:pt>
                <c:pt idx="30">
                  <c:v>0.3</c:v>
                </c:pt>
                <c:pt idx="31">
                  <c:v>0.3</c:v>
                </c:pt>
                <c:pt idx="32">
                  <c:v>0.3</c:v>
                </c:pt>
                <c:pt idx="33">
                  <c:v>0.3</c:v>
                </c:pt>
                <c:pt idx="34">
                  <c:v>0.3</c:v>
                </c:pt>
                <c:pt idx="35">
                  <c:v>0.3</c:v>
                </c:pt>
                <c:pt idx="36">
                  <c:v>0.3</c:v>
                </c:pt>
                <c:pt idx="37">
                  <c:v>0.3</c:v>
                </c:pt>
                <c:pt idx="38">
                  <c:v>0.3</c:v>
                </c:pt>
              </c:numCache>
            </c:numRef>
          </c:val>
          <c:smooth val="0"/>
          <c:extLst>
            <c:ext xmlns:c16="http://schemas.microsoft.com/office/drawing/2014/chart" uri="{C3380CC4-5D6E-409C-BE32-E72D297353CC}">
              <c16:uniqueId val="{00000002-3D37-45A4-A3AA-174A2C9F3214}"/>
            </c:ext>
          </c:extLst>
        </c:ser>
        <c:dLbls>
          <c:showLegendKey val="0"/>
          <c:showVal val="0"/>
          <c:showCatName val="0"/>
          <c:showSerName val="0"/>
          <c:showPercent val="0"/>
          <c:showBubbleSize val="0"/>
        </c:dLbls>
        <c:smooth val="0"/>
        <c:axId val="28216368"/>
        <c:axId val="28216784"/>
      </c:lineChart>
      <c:catAx>
        <c:axId val="28216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216784"/>
        <c:crosses val="autoZero"/>
        <c:auto val="1"/>
        <c:lblAlgn val="ctr"/>
        <c:lblOffset val="100"/>
        <c:noMultiLvlLbl val="0"/>
      </c:catAx>
      <c:valAx>
        <c:axId val="282167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2163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Estimates</a:t>
            </a:r>
            <a:r>
              <a:rPr lang="en-US" baseline="0"/>
              <a:t> of Total U.S. Retail Sales in High- and Low-Growth Scenarios (trillions of dollars)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'1'!$O$5</c:f>
              <c:strCache>
                <c:ptCount val="1"/>
                <c:pt idx="0">
                  <c:v>Base</c:v>
                </c:pt>
              </c:strCache>
            </c:strRef>
          </c:tx>
          <c:spPr>
            <a:ln w="28575" cap="rnd">
              <a:solidFill>
                <a:schemeClr val="accent1"/>
              </a:solidFill>
              <a:round/>
            </a:ln>
            <a:effectLst/>
          </c:spPr>
          <c:marker>
            <c:symbol val="none"/>
          </c:marker>
          <c:cat>
            <c:numRef>
              <c:f>'1'!$N$6:$N$44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'1'!$O$6:$O$44</c:f>
              <c:numCache>
                <c:formatCode>General</c:formatCode>
                <c:ptCount val="39"/>
                <c:pt idx="0">
                  <c:v>4.3</c:v>
                </c:pt>
                <c:pt idx="1">
                  <c:v>4.46</c:v>
                </c:pt>
                <c:pt idx="2">
                  <c:v>4.6399999999999997</c:v>
                </c:pt>
                <c:pt idx="3">
                  <c:v>4.72</c:v>
                </c:pt>
                <c:pt idx="4">
                  <c:v>4.83</c:v>
                </c:pt>
                <c:pt idx="5">
                  <c:v>5.05</c:v>
                </c:pt>
                <c:pt idx="6">
                  <c:v>5.26</c:v>
                </c:pt>
                <c:pt idx="7">
                  <c:v>5.41</c:v>
                </c:pt>
                <c:pt idx="8">
                  <c:v>5.58</c:v>
                </c:pt>
                <c:pt idx="9">
                  <c:v>6.6513599999999995</c:v>
                </c:pt>
                <c:pt idx="10">
                  <c:v>6.871520015999999</c:v>
                </c:pt>
                <c:pt idx="11">
                  <c:v>7.0989673285295982</c:v>
                </c:pt>
                <c:pt idx="12">
                  <c:v>7.3339431471039269</c:v>
                </c:pt>
                <c:pt idx="13">
                  <c:v>7.5766966652730661</c:v>
                </c:pt>
                <c:pt idx="14">
                  <c:v>7.8274853248936038</c:v>
                </c:pt>
                <c:pt idx="15">
                  <c:v>8.0865750891475816</c:v>
                </c:pt>
                <c:pt idx="16">
                  <c:v>8.3542407245983661</c:v>
                </c:pt>
                <c:pt idx="17">
                  <c:v>8.6307660925825704</c:v>
                </c:pt>
                <c:pt idx="18">
                  <c:v>8.9164444502470523</c:v>
                </c:pt>
                <c:pt idx="19">
                  <c:v>9.2115787615502285</c:v>
                </c:pt>
                <c:pt idx="20">
                  <c:v>9.5164820185575394</c:v>
                </c:pt>
                <c:pt idx="21">
                  <c:v>9.8314775733717923</c:v>
                </c:pt>
                <c:pt idx="22">
                  <c:v>10.156899481050397</c:v>
                </c:pt>
                <c:pt idx="23">
                  <c:v>10.493092853873165</c:v>
                </c:pt>
                <c:pt idx="24">
                  <c:v>10.840414227336366</c:v>
                </c:pt>
                <c:pt idx="25">
                  <c:v>11.199231938261198</c:v>
                </c:pt>
                <c:pt idx="26">
                  <c:v>11.569926515417642</c:v>
                </c:pt>
                <c:pt idx="27">
                  <c:v>11.952891083077965</c:v>
                </c:pt>
                <c:pt idx="28">
                  <c:v>12.348531777927844</c:v>
                </c:pt>
                <c:pt idx="29">
                  <c:v>12.757268179777254</c:v>
                </c:pt>
                <c:pt idx="30">
                  <c:v>13.17953375652788</c:v>
                </c:pt>
                <c:pt idx="31">
                  <c:v>13.615776323868952</c:v>
                </c:pt>
                <c:pt idx="32">
                  <c:v>14.066458520189013</c:v>
                </c:pt>
                <c:pt idx="33">
                  <c:v>14.532058297207268</c:v>
                </c:pt>
                <c:pt idx="34">
                  <c:v>15.013069426844828</c:v>
                </c:pt>
                <c:pt idx="35">
                  <c:v>15.510002024873391</c:v>
                </c:pt>
                <c:pt idx="36">
                  <c:v>16.023383091896697</c:v>
                </c:pt>
                <c:pt idx="37">
                  <c:v>16.553757072238476</c:v>
                </c:pt>
                <c:pt idx="38">
                  <c:v>17.101686431329568</c:v>
                </c:pt>
              </c:numCache>
            </c:numRef>
          </c:val>
          <c:smooth val="0"/>
          <c:extLst>
            <c:ext xmlns:c16="http://schemas.microsoft.com/office/drawing/2014/chart" uri="{C3380CC4-5D6E-409C-BE32-E72D297353CC}">
              <c16:uniqueId val="{00000000-5DFD-4468-93CD-5310AB5D4BE7}"/>
            </c:ext>
          </c:extLst>
        </c:ser>
        <c:ser>
          <c:idx val="1"/>
          <c:order val="1"/>
          <c:tx>
            <c:strRef>
              <c:f>'1'!$P$5</c:f>
              <c:strCache>
                <c:ptCount val="1"/>
                <c:pt idx="0">
                  <c:v>High</c:v>
                </c:pt>
              </c:strCache>
            </c:strRef>
          </c:tx>
          <c:spPr>
            <a:ln w="28575" cap="rnd">
              <a:solidFill>
                <a:schemeClr val="accent2"/>
              </a:solidFill>
              <a:round/>
            </a:ln>
            <a:effectLst/>
          </c:spPr>
          <c:marker>
            <c:symbol val="none"/>
          </c:marker>
          <c:cat>
            <c:numRef>
              <c:f>'1'!$N$6:$N$44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'1'!$P$6:$P$44</c:f>
              <c:numCache>
                <c:formatCode>General</c:formatCode>
                <c:ptCount val="39"/>
                <c:pt idx="0">
                  <c:v>4.3</c:v>
                </c:pt>
                <c:pt idx="1">
                  <c:v>4.46</c:v>
                </c:pt>
                <c:pt idx="2">
                  <c:v>4.6399999999999997</c:v>
                </c:pt>
                <c:pt idx="3">
                  <c:v>4.72</c:v>
                </c:pt>
                <c:pt idx="4">
                  <c:v>4.83</c:v>
                </c:pt>
                <c:pt idx="5">
                  <c:v>5.05</c:v>
                </c:pt>
                <c:pt idx="6">
                  <c:v>5.26</c:v>
                </c:pt>
                <c:pt idx="7">
                  <c:v>5.41</c:v>
                </c:pt>
                <c:pt idx="8">
                  <c:v>5.58</c:v>
                </c:pt>
                <c:pt idx="9">
                  <c:v>6.6513599999999995</c:v>
                </c:pt>
                <c:pt idx="10">
                  <c:v>7.0916800319999993</c:v>
                </c:pt>
                <c:pt idx="11">
                  <c:v>7.5611492501183992</c:v>
                </c:pt>
                <c:pt idx="12">
                  <c:v>8.0616973304762372</c:v>
                </c:pt>
                <c:pt idx="13">
                  <c:v>8.5953816937537635</c:v>
                </c:pt>
                <c:pt idx="14">
                  <c:v>9.1643959618802633</c:v>
                </c:pt>
                <c:pt idx="15">
                  <c:v>9.7710789745567368</c:v>
                </c:pt>
                <c:pt idx="16">
                  <c:v>10.417924402672393</c:v>
                </c:pt>
                <c:pt idx="17">
                  <c:v>11.107590998129306</c:v>
                </c:pt>
                <c:pt idx="18">
                  <c:v>11.842913522205466</c:v>
                </c:pt>
                <c:pt idx="19">
                  <c:v>12.626914397375469</c:v>
                </c:pt>
                <c:pt idx="20">
                  <c:v>13.462816130481725</c:v>
                </c:pt>
                <c:pt idx="21">
                  <c:v>14.354054558319616</c:v>
                </c:pt>
                <c:pt idx="22">
                  <c:v>15.304292970080375</c:v>
                </c:pt>
                <c:pt idx="23">
                  <c:v>16.317437164699697</c:v>
                </c:pt>
                <c:pt idx="24">
                  <c:v>17.397651505002816</c:v>
                </c:pt>
                <c:pt idx="25">
                  <c:v>18.549376034634005</c:v>
                </c:pt>
                <c:pt idx="26">
                  <c:v>19.777344728126778</c:v>
                </c:pt>
                <c:pt idx="27">
                  <c:v>21.08660494912877</c:v>
                </c:pt>
                <c:pt idx="28">
                  <c:v>22.482538196761094</c:v>
                </c:pt>
                <c:pt idx="29">
                  <c:v>23.970882225386681</c:v>
                </c:pt>
                <c:pt idx="30">
                  <c:v>25.557754628707279</c:v>
                </c:pt>
                <c:pt idx="31">
                  <c:v>27.2496779851277</c:v>
                </c:pt>
                <c:pt idx="32">
                  <c:v>29.053606667743153</c:v>
                </c:pt>
                <c:pt idx="33">
                  <c:v>30.97695542914775</c:v>
                </c:pt>
                <c:pt idx="34">
                  <c:v>33.027629878557335</c:v>
                </c:pt>
                <c:pt idx="35">
                  <c:v>35.214058976517833</c:v>
                </c:pt>
                <c:pt idx="36">
                  <c:v>37.545229680763313</c:v>
                </c:pt>
                <c:pt idx="37">
                  <c:v>40.030723885629847</c:v>
                </c:pt>
                <c:pt idx="38">
                  <c:v>42.680757806858544</c:v>
                </c:pt>
              </c:numCache>
            </c:numRef>
          </c:val>
          <c:smooth val="0"/>
          <c:extLst>
            <c:ext xmlns:c16="http://schemas.microsoft.com/office/drawing/2014/chart" uri="{C3380CC4-5D6E-409C-BE32-E72D297353CC}">
              <c16:uniqueId val="{00000001-5DFD-4468-93CD-5310AB5D4BE7}"/>
            </c:ext>
          </c:extLst>
        </c:ser>
        <c:ser>
          <c:idx val="2"/>
          <c:order val="2"/>
          <c:tx>
            <c:strRef>
              <c:f>'1'!$Q$5</c:f>
              <c:strCache>
                <c:ptCount val="1"/>
                <c:pt idx="0">
                  <c:v>Low</c:v>
                </c:pt>
              </c:strCache>
            </c:strRef>
          </c:tx>
          <c:spPr>
            <a:ln w="28575" cap="rnd">
              <a:solidFill>
                <a:schemeClr val="accent3"/>
              </a:solidFill>
              <a:round/>
            </a:ln>
            <a:effectLst/>
          </c:spPr>
          <c:marker>
            <c:symbol val="none"/>
          </c:marker>
          <c:cat>
            <c:numRef>
              <c:f>'1'!$N$6:$N$44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'1'!$Q$6:$Q$44</c:f>
              <c:numCache>
                <c:formatCode>General</c:formatCode>
                <c:ptCount val="39"/>
                <c:pt idx="0">
                  <c:v>4.3</c:v>
                </c:pt>
                <c:pt idx="1">
                  <c:v>4.46</c:v>
                </c:pt>
                <c:pt idx="2">
                  <c:v>4.6399999999999997</c:v>
                </c:pt>
                <c:pt idx="3">
                  <c:v>4.72</c:v>
                </c:pt>
                <c:pt idx="4">
                  <c:v>4.83</c:v>
                </c:pt>
                <c:pt idx="5">
                  <c:v>5.05</c:v>
                </c:pt>
                <c:pt idx="6">
                  <c:v>5.26</c:v>
                </c:pt>
                <c:pt idx="7">
                  <c:v>5.41</c:v>
                </c:pt>
                <c:pt idx="8">
                  <c:v>5.58</c:v>
                </c:pt>
                <c:pt idx="9">
                  <c:v>6.6513599999999995</c:v>
                </c:pt>
                <c:pt idx="10">
                  <c:v>6.7621051439999995</c:v>
                </c:pt>
                <c:pt idx="11">
                  <c:v>6.8746941946476001</c:v>
                </c:pt>
                <c:pt idx="12">
                  <c:v>6.989157852988483</c:v>
                </c:pt>
                <c:pt idx="13">
                  <c:v>7.1055273312407419</c:v>
                </c:pt>
                <c:pt idx="14">
                  <c:v>7.2238343613059008</c:v>
                </c:pt>
                <c:pt idx="15">
                  <c:v>7.3441112034216447</c:v>
                </c:pt>
                <c:pt idx="16">
                  <c:v>7.4663906549586159</c:v>
                </c:pt>
                <c:pt idx="17">
                  <c:v>7.5907060593636775</c:v>
                </c:pt>
                <c:pt idx="18">
                  <c:v>7.717091315252083</c:v>
                </c:pt>
                <c:pt idx="19">
                  <c:v>7.8455808856510307</c:v>
                </c:pt>
                <c:pt idx="20">
                  <c:v>7.9762098073971206</c:v>
                </c:pt>
                <c:pt idx="21">
                  <c:v>8.1090137006902836</c:v>
                </c:pt>
                <c:pt idx="22">
                  <c:v>8.2440287788067774</c:v>
                </c:pt>
                <c:pt idx="23">
                  <c:v>8.3812918579739115</c:v>
                </c:pt>
                <c:pt idx="24">
                  <c:v>8.5208403674091784</c:v>
                </c:pt>
                <c:pt idx="25">
                  <c:v>8.662712359526541</c:v>
                </c:pt>
                <c:pt idx="26">
                  <c:v>8.8069465203126587</c:v>
                </c:pt>
                <c:pt idx="27">
                  <c:v>8.9535821798758644</c:v>
                </c:pt>
                <c:pt idx="28">
                  <c:v>9.1026593231707977</c:v>
                </c:pt>
                <c:pt idx="29">
                  <c:v>9.2542186009015914</c:v>
                </c:pt>
                <c:pt idx="30">
                  <c:v>9.4083013406066041</c:v>
                </c:pt>
                <c:pt idx="31">
                  <c:v>9.5649495579277044</c:v>
                </c:pt>
                <c:pt idx="32">
                  <c:v>9.7242059680672011</c:v>
                </c:pt>
                <c:pt idx="33">
                  <c:v>9.8861139974355208</c:v>
                </c:pt>
                <c:pt idx="34">
                  <c:v>10.050717795492822</c:v>
                </c:pt>
                <c:pt idx="35">
                  <c:v>10.218062246787779</c:v>
                </c:pt>
                <c:pt idx="36">
                  <c:v>10.388192983196797</c:v>
                </c:pt>
                <c:pt idx="37">
                  <c:v>10.561156396367025</c:v>
                </c:pt>
                <c:pt idx="38">
                  <c:v>10.736999650366537</c:v>
                </c:pt>
              </c:numCache>
            </c:numRef>
          </c:val>
          <c:smooth val="0"/>
          <c:extLst>
            <c:ext xmlns:c16="http://schemas.microsoft.com/office/drawing/2014/chart" uri="{C3380CC4-5D6E-409C-BE32-E72D297353CC}">
              <c16:uniqueId val="{00000002-5DFD-4468-93CD-5310AB5D4BE7}"/>
            </c:ext>
          </c:extLst>
        </c:ser>
        <c:dLbls>
          <c:showLegendKey val="0"/>
          <c:showVal val="0"/>
          <c:showCatName val="0"/>
          <c:showSerName val="0"/>
          <c:showPercent val="0"/>
          <c:showBubbleSize val="0"/>
        </c:dLbls>
        <c:smooth val="0"/>
        <c:axId val="1568105216"/>
        <c:axId val="1568109792"/>
      </c:lineChart>
      <c:catAx>
        <c:axId val="1568105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8109792"/>
        <c:crosses val="autoZero"/>
        <c:auto val="1"/>
        <c:lblAlgn val="ctr"/>
        <c:lblOffset val="100"/>
        <c:noMultiLvlLbl val="0"/>
      </c:catAx>
      <c:valAx>
        <c:axId val="15681097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8105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E-Commerce</a:t>
            </a:r>
            <a:r>
              <a:rPr lang="en-US" baseline="0"/>
              <a:t> Sales (trillions of USD)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'1'!$AB$5</c:f>
              <c:strCache>
                <c:ptCount val="1"/>
                <c:pt idx="0">
                  <c:v>Base</c:v>
                </c:pt>
              </c:strCache>
            </c:strRef>
          </c:tx>
          <c:spPr>
            <a:ln w="28575" cap="rnd">
              <a:solidFill>
                <a:schemeClr val="accent1"/>
              </a:solidFill>
              <a:round/>
            </a:ln>
            <a:effectLst/>
          </c:spPr>
          <c:marker>
            <c:symbol val="none"/>
          </c:marker>
          <c:cat>
            <c:numRef>
              <c:f>'1'!$AA$6:$AA$44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'1'!$AB$6:$AB$44</c:f>
              <c:numCache>
                <c:formatCode>General</c:formatCode>
                <c:ptCount val="39"/>
                <c:pt idx="0">
                  <c:v>0.215</c:v>
                </c:pt>
                <c:pt idx="1">
                  <c:v>0.25867999999999997</c:v>
                </c:pt>
                <c:pt idx="2">
                  <c:v>0.28303999999999996</c:v>
                </c:pt>
                <c:pt idx="3">
                  <c:v>0.32568000000000003</c:v>
                </c:pt>
                <c:pt idx="4">
                  <c:v>0.37191000000000002</c:v>
                </c:pt>
                <c:pt idx="5">
                  <c:v>0.42925000000000002</c:v>
                </c:pt>
                <c:pt idx="6">
                  <c:v>0.48918000000000006</c:v>
                </c:pt>
                <c:pt idx="7">
                  <c:v>0.54100000000000004</c:v>
                </c:pt>
                <c:pt idx="8">
                  <c:v>0.66959999999999997</c:v>
                </c:pt>
                <c:pt idx="9">
                  <c:v>0.90458495999999999</c:v>
                </c:pt>
                <c:pt idx="10">
                  <c:v>0.97536553993509123</c:v>
                </c:pt>
                <c:pt idx="11">
                  <c:v>1.0516844503946559</c:v>
                </c:pt>
                <c:pt idx="12">
                  <c:v>1.1339750461919278</c:v>
                </c:pt>
                <c:pt idx="13">
                  <c:v>1.2227045906245333</c:v>
                </c:pt>
                <c:pt idx="14">
                  <c:v>1.3183769086936981</c:v>
                </c:pt>
                <c:pt idx="15">
                  <c:v>1.4215352479284922</c:v>
                </c:pt>
                <c:pt idx="16">
                  <c:v>1.5327653630594715</c:v>
                </c:pt>
                <c:pt idx="17">
                  <c:v>1.6526988420571436</c:v>
                </c:pt>
                <c:pt idx="18">
                  <c:v>1.7820166924212022</c:v>
                </c:pt>
                <c:pt idx="19">
                  <c:v>1.921453208084237</c:v>
                </c:pt>
                <c:pt idx="20">
                  <c:v>2.0718001388870038</c:v>
                </c:pt>
                <c:pt idx="21">
                  <c:v>2.2339111863004213</c:v>
                </c:pt>
                <c:pt idx="22">
                  <c:v>2.4087068509219414</c:v>
                </c:pt>
                <c:pt idx="23">
                  <c:v>2.5971796592713998</c:v>
                </c:pt>
                <c:pt idx="24">
                  <c:v>2.8003997995651893</c:v>
                </c:pt>
                <c:pt idx="25">
                  <c:v>3.0195211984698727</c:v>
                </c:pt>
                <c:pt idx="26">
                  <c:v>3.2557880733403097</c:v>
                </c:pt>
                <c:pt idx="27">
                  <c:v>3.51054199714729</c:v>
                </c:pt>
                <c:pt idx="28">
                  <c:v>3.7852295162108152</c:v>
                </c:pt>
                <c:pt idx="29">
                  <c:v>4.0814103639941193</c:v>
                </c:pt>
                <c:pt idx="30">
                  <c:v>4.4007663175980731</c:v>
                </c:pt>
                <c:pt idx="31">
                  <c:v>4.7451107472450218</c:v>
                </c:pt>
                <c:pt idx="32">
                  <c:v>5.116398912976007</c:v>
                </c:pt>
                <c:pt idx="33">
                  <c:v>5.5167390670282161</c:v>
                </c:pt>
                <c:pt idx="34">
                  <c:v>5.9484044249342682</c:v>
                </c:pt>
                <c:pt idx="35">
                  <c:v>6.413846073317754</c:v>
                </c:pt>
                <c:pt idx="36">
                  <c:v>6.9157068876782297</c:v>
                </c:pt>
                <c:pt idx="37">
                  <c:v>7.4568365391937368</c:v>
                </c:pt>
                <c:pt idx="38">
                  <c:v>8.040307675752663</c:v>
                </c:pt>
              </c:numCache>
            </c:numRef>
          </c:val>
          <c:smooth val="0"/>
          <c:extLst>
            <c:ext xmlns:c16="http://schemas.microsoft.com/office/drawing/2014/chart" uri="{C3380CC4-5D6E-409C-BE32-E72D297353CC}">
              <c16:uniqueId val="{00000000-B1EA-4EB5-AEA4-BEF8C7FCC7B8}"/>
            </c:ext>
          </c:extLst>
        </c:ser>
        <c:ser>
          <c:idx val="1"/>
          <c:order val="1"/>
          <c:tx>
            <c:strRef>
              <c:f>'1'!$AC$5</c:f>
              <c:strCache>
                <c:ptCount val="1"/>
                <c:pt idx="0">
                  <c:v>High</c:v>
                </c:pt>
              </c:strCache>
            </c:strRef>
          </c:tx>
          <c:spPr>
            <a:ln w="28575" cap="rnd">
              <a:solidFill>
                <a:schemeClr val="accent2"/>
              </a:solidFill>
              <a:round/>
            </a:ln>
            <a:effectLst/>
          </c:spPr>
          <c:marker>
            <c:symbol val="none"/>
          </c:marker>
          <c:cat>
            <c:numRef>
              <c:f>'1'!$AA$6:$AA$44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'1'!$AC$6:$AC$44</c:f>
              <c:numCache>
                <c:formatCode>General</c:formatCode>
                <c:ptCount val="39"/>
                <c:pt idx="0">
                  <c:v>0.215</c:v>
                </c:pt>
                <c:pt idx="1">
                  <c:v>0.25867999999999997</c:v>
                </c:pt>
                <c:pt idx="2">
                  <c:v>0.28303999999999996</c:v>
                </c:pt>
                <c:pt idx="3">
                  <c:v>0.32568000000000003</c:v>
                </c:pt>
                <c:pt idx="4">
                  <c:v>0.37191000000000002</c:v>
                </c:pt>
                <c:pt idx="5">
                  <c:v>0.42925000000000002</c:v>
                </c:pt>
                <c:pt idx="6">
                  <c:v>0.48918000000000006</c:v>
                </c:pt>
                <c:pt idx="7">
                  <c:v>0.54100000000000004</c:v>
                </c:pt>
                <c:pt idx="8">
                  <c:v>0.66959999999999997</c:v>
                </c:pt>
                <c:pt idx="9">
                  <c:v>0.90458495999999999</c:v>
                </c:pt>
                <c:pt idx="10">
                  <c:v>1.0155853140226558</c:v>
                </c:pt>
                <c:pt idx="11">
                  <c:v>1.1402063660869364</c:v>
                </c:pt>
                <c:pt idx="12">
                  <c:v>1.2801194929805517</c:v>
                </c:pt>
                <c:pt idx="13">
                  <c:v>1.4372011637969049</c:v>
                </c:pt>
                <c:pt idx="14">
                  <c:v>1.6135581065247935</c:v>
                </c:pt>
                <c:pt idx="15">
                  <c:v>1.8115555627951019</c:v>
                </c:pt>
                <c:pt idx="16">
                  <c:v>2.0338490097279007</c:v>
                </c:pt>
                <c:pt idx="17">
                  <c:v>2.2834197743229976</c:v>
                </c:pt>
                <c:pt idx="18">
                  <c:v>2.5636150180424888</c:v>
                </c:pt>
                <c:pt idx="19">
                  <c:v>2.8781926278454573</c:v>
                </c:pt>
                <c:pt idx="20">
                  <c:v>3.2313716157386945</c:v>
                </c:pt>
                <c:pt idx="21">
                  <c:v>3.6278887027857269</c:v>
                </c:pt>
                <c:pt idx="22">
                  <c:v>4.0730618464603792</c:v>
                </c:pt>
                <c:pt idx="23">
                  <c:v>4.5728615633529479</c:v>
                </c:pt>
                <c:pt idx="24">
                  <c:v>5.1339910037857983</c:v>
                </c:pt>
                <c:pt idx="25">
                  <c:v>5.7639758522729485</c:v>
                </c:pt>
                <c:pt idx="26">
                  <c:v>6.4712652595391686</c:v>
                </c:pt>
                <c:pt idx="27">
                  <c:v>7.2653451597658565</c:v>
                </c:pt>
                <c:pt idx="28">
                  <c:v>8.1568654928375004</c:v>
                </c:pt>
                <c:pt idx="29">
                  <c:v>9.1577830378518996</c:v>
                </c:pt>
                <c:pt idx="30">
                  <c:v>10.281521773530454</c:v>
                </c:pt>
                <c:pt idx="31">
                  <c:v>11.543152916229891</c:v>
                </c:pt>
                <c:pt idx="32">
                  <c:v>12.959597050166376</c:v>
                </c:pt>
                <c:pt idx="33">
                  <c:v>14.549851060756422</c:v>
                </c:pt>
                <c:pt idx="34">
                  <c:v>16.33524291463036</c:v>
                </c:pt>
                <c:pt idx="35">
                  <c:v>18.339717703344572</c:v>
                </c:pt>
                <c:pt idx="36">
                  <c:v>20.590158787117197</c:v>
                </c:pt>
                <c:pt idx="37">
                  <c:v>23.116748345662046</c:v>
                </c:pt>
                <c:pt idx="38">
                  <c:v>25.608454684115127</c:v>
                </c:pt>
              </c:numCache>
            </c:numRef>
          </c:val>
          <c:smooth val="0"/>
          <c:extLst>
            <c:ext xmlns:c16="http://schemas.microsoft.com/office/drawing/2014/chart" uri="{C3380CC4-5D6E-409C-BE32-E72D297353CC}">
              <c16:uniqueId val="{00000001-B1EA-4EB5-AEA4-BEF8C7FCC7B8}"/>
            </c:ext>
          </c:extLst>
        </c:ser>
        <c:ser>
          <c:idx val="2"/>
          <c:order val="2"/>
          <c:tx>
            <c:strRef>
              <c:f>'1'!$AD$5</c:f>
              <c:strCache>
                <c:ptCount val="1"/>
                <c:pt idx="0">
                  <c:v>Low</c:v>
                </c:pt>
              </c:strCache>
            </c:strRef>
          </c:tx>
          <c:spPr>
            <a:ln w="28575" cap="rnd">
              <a:solidFill>
                <a:schemeClr val="accent3"/>
              </a:solidFill>
              <a:round/>
            </a:ln>
            <a:effectLst/>
          </c:spPr>
          <c:marker>
            <c:symbol val="none"/>
          </c:marker>
          <c:cat>
            <c:numRef>
              <c:f>'1'!$AA$6:$AA$44</c:f>
              <c:numCache>
                <c:formatCode>General</c:formatCode>
                <c:ptCount val="3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pt idx="21">
                  <c:v>2033</c:v>
                </c:pt>
                <c:pt idx="22">
                  <c:v>2034</c:v>
                </c:pt>
                <c:pt idx="23">
                  <c:v>2035</c:v>
                </c:pt>
                <c:pt idx="24">
                  <c:v>2036</c:v>
                </c:pt>
                <c:pt idx="25">
                  <c:v>2037</c:v>
                </c:pt>
                <c:pt idx="26">
                  <c:v>2038</c:v>
                </c:pt>
                <c:pt idx="27">
                  <c:v>2039</c:v>
                </c:pt>
                <c:pt idx="28">
                  <c:v>2040</c:v>
                </c:pt>
                <c:pt idx="29">
                  <c:v>2041</c:v>
                </c:pt>
                <c:pt idx="30">
                  <c:v>2042</c:v>
                </c:pt>
                <c:pt idx="31">
                  <c:v>2043</c:v>
                </c:pt>
                <c:pt idx="32">
                  <c:v>2044</c:v>
                </c:pt>
                <c:pt idx="33">
                  <c:v>2045</c:v>
                </c:pt>
                <c:pt idx="34">
                  <c:v>2046</c:v>
                </c:pt>
                <c:pt idx="35">
                  <c:v>2047</c:v>
                </c:pt>
                <c:pt idx="36">
                  <c:v>2048</c:v>
                </c:pt>
                <c:pt idx="37">
                  <c:v>2049</c:v>
                </c:pt>
                <c:pt idx="38">
                  <c:v>2050</c:v>
                </c:pt>
              </c:numCache>
            </c:numRef>
          </c:cat>
          <c:val>
            <c:numRef>
              <c:f>'1'!$AD$6:$AD$44</c:f>
              <c:numCache>
                <c:formatCode>General</c:formatCode>
                <c:ptCount val="39"/>
                <c:pt idx="0">
                  <c:v>0.215</c:v>
                </c:pt>
                <c:pt idx="1">
                  <c:v>0.25867999999999997</c:v>
                </c:pt>
                <c:pt idx="2">
                  <c:v>0.28303999999999996</c:v>
                </c:pt>
                <c:pt idx="3">
                  <c:v>0.32568000000000003</c:v>
                </c:pt>
                <c:pt idx="4">
                  <c:v>0.37191000000000002</c:v>
                </c:pt>
                <c:pt idx="5">
                  <c:v>0.42925000000000002</c:v>
                </c:pt>
                <c:pt idx="6">
                  <c:v>0.48918000000000006</c:v>
                </c:pt>
                <c:pt idx="7">
                  <c:v>0.54100000000000004</c:v>
                </c:pt>
                <c:pt idx="8">
                  <c:v>0.66959999999999997</c:v>
                </c:pt>
                <c:pt idx="9">
                  <c:v>0.90458495999999999</c:v>
                </c:pt>
                <c:pt idx="10">
                  <c:v>0.95983484287582088</c:v>
                </c:pt>
                <c:pt idx="11">
                  <c:v>1.0184592562742274</c:v>
                </c:pt>
                <c:pt idx="12">
                  <c:v>1.0806643084375385</c:v>
                </c:pt>
                <c:pt idx="13">
                  <c:v>1.146668696205885</c:v>
                </c:pt>
                <c:pt idx="14">
                  <c:v>1.2167044738986132</c:v>
                </c:pt>
                <c:pt idx="15">
                  <c:v>1.2910178691571257</c:v>
                </c:pt>
                <c:pt idx="16">
                  <c:v>1.3698701486174465</c:v>
                </c:pt>
                <c:pt idx="17">
                  <c:v>1.4535385364559945</c:v>
                </c:pt>
                <c:pt idx="18">
                  <c:v>1.5423171890379319</c:v>
                </c:pt>
                <c:pt idx="19">
                  <c:v>1.6365182290947013</c:v>
                </c:pt>
                <c:pt idx="20">
                  <c:v>1.7364728430666474</c:v>
                </c:pt>
                <c:pt idx="21">
                  <c:v>1.8425324454686993</c:v>
                </c:pt>
                <c:pt idx="22">
                  <c:v>1.9550699143727208</c:v>
                </c:pt>
                <c:pt idx="23">
                  <c:v>2.074480902350162</c:v>
                </c:pt>
                <c:pt idx="24">
                  <c:v>2.2011852274839492</c:v>
                </c:pt>
                <c:pt idx="25">
                  <c:v>2.3356283493400491</c:v>
                </c:pt>
                <c:pt idx="26">
                  <c:v>2.4782829350878433</c:v>
                </c:pt>
                <c:pt idx="27">
                  <c:v>2.6296505212753791</c:v>
                </c:pt>
                <c:pt idx="28">
                  <c:v>2.7307977969512391</c:v>
                </c:pt>
                <c:pt idx="29">
                  <c:v>2.7762655802704774</c:v>
                </c:pt>
                <c:pt idx="30">
                  <c:v>2.8224904021819812</c:v>
                </c:pt>
                <c:pt idx="31">
                  <c:v>2.8694848673783113</c:v>
                </c:pt>
                <c:pt idx="32">
                  <c:v>2.9172617904201603</c:v>
                </c:pt>
                <c:pt idx="33">
                  <c:v>2.9658341992306561</c:v>
                </c:pt>
                <c:pt idx="34">
                  <c:v>3.0152153386478466</c:v>
                </c:pt>
                <c:pt idx="35">
                  <c:v>3.0654186740363336</c:v>
                </c:pt>
                <c:pt idx="36">
                  <c:v>3.1164578949590389</c:v>
                </c:pt>
                <c:pt idx="37">
                  <c:v>3.1683469189101072</c:v>
                </c:pt>
                <c:pt idx="38">
                  <c:v>3.221099895109961</c:v>
                </c:pt>
              </c:numCache>
            </c:numRef>
          </c:val>
          <c:smooth val="0"/>
          <c:extLst>
            <c:ext xmlns:c16="http://schemas.microsoft.com/office/drawing/2014/chart" uri="{C3380CC4-5D6E-409C-BE32-E72D297353CC}">
              <c16:uniqueId val="{00000002-B1EA-4EB5-AEA4-BEF8C7FCC7B8}"/>
            </c:ext>
          </c:extLst>
        </c:ser>
        <c:dLbls>
          <c:showLegendKey val="0"/>
          <c:showVal val="0"/>
          <c:showCatName val="0"/>
          <c:showSerName val="0"/>
          <c:showPercent val="0"/>
          <c:showBubbleSize val="0"/>
        </c:dLbls>
        <c:smooth val="0"/>
        <c:axId val="2003513312"/>
        <c:axId val="2003513728"/>
      </c:lineChart>
      <c:catAx>
        <c:axId val="2003513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3513728"/>
        <c:crosses val="autoZero"/>
        <c:auto val="1"/>
        <c:lblAlgn val="ctr"/>
        <c:lblOffset val="100"/>
        <c:noMultiLvlLbl val="0"/>
      </c:catAx>
      <c:valAx>
        <c:axId val="2003513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3513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Warehousing Required to</a:t>
            </a:r>
            <a:r>
              <a:rPr lang="en-US" baseline="0"/>
              <a:t> Support E-Commerce Demand</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'1'!$AT$13</c:f>
              <c:strCache>
                <c:ptCount val="1"/>
                <c:pt idx="0">
                  <c:v> Base </c:v>
                </c:pt>
              </c:strCache>
            </c:strRef>
          </c:tx>
          <c:spPr>
            <a:ln w="28575" cap="rnd">
              <a:solidFill>
                <a:schemeClr val="accent1"/>
              </a:solidFill>
              <a:round/>
            </a:ln>
            <a:effectLst/>
          </c:spPr>
          <c:marker>
            <c:symbol val="none"/>
          </c:marker>
          <c:cat>
            <c:numRef>
              <c:f>'1'!$AS$14:$AS$44</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f>'1'!$AT$14:$AT$44</c:f>
              <c:numCache>
                <c:formatCode>_(* #,##0_);_(* \(#,##0\);_(* "-"??_);_(@_)</c:formatCode>
                <c:ptCount val="31"/>
                <c:pt idx="0">
                  <c:v>803520000</c:v>
                </c:pt>
                <c:pt idx="1">
                  <c:v>1074646932.48</c:v>
                </c:pt>
                <c:pt idx="2">
                  <c:v>1147029874.9636672</c:v>
                </c:pt>
                <c:pt idx="3">
                  <c:v>1224160700.2593794</c:v>
                </c:pt>
                <c:pt idx="4">
                  <c:v>1306339253.2131007</c:v>
                </c:pt>
                <c:pt idx="5">
                  <c:v>1393883233.3119678</c:v>
                </c:pt>
                <c:pt idx="6">
                  <c:v>1487129153.0064914</c:v>
                </c:pt>
                <c:pt idx="7">
                  <c:v>1586433336.6881974</c:v>
                </c:pt>
                <c:pt idx="8">
                  <c:v>1692172960.8176565</c:v>
                </c:pt>
                <c:pt idx="9">
                  <c:v>1804747135.526401</c:v>
                </c:pt>
                <c:pt idx="10">
                  <c:v>1924578027.8148985</c:v>
                </c:pt>
                <c:pt idx="11">
                  <c:v>2052112026.2339654</c:v>
                </c:pt>
                <c:pt idx="12">
                  <c:v>2187820946.6646757</c:v>
                </c:pt>
                <c:pt idx="13">
                  <c:v>2332203278.4976397</c:v>
                </c:pt>
                <c:pt idx="14">
                  <c:v>2485785470.1514435</c:v>
                </c:pt>
                <c:pt idx="15">
                  <c:v>2649123252.4568281</c:v>
                </c:pt>
                <c:pt idx="16">
                  <c:v>2822802997.9617109</c:v>
                </c:pt>
                <c:pt idx="17">
                  <c:v>3007443113.675993</c:v>
                </c:pt>
                <c:pt idx="18">
                  <c:v>3203695464.1668649</c:v>
                </c:pt>
                <c:pt idx="19">
                  <c:v>3412246821.2271662</c:v>
                </c:pt>
                <c:pt idx="20">
                  <c:v>3633820335.5623827</c:v>
                </c:pt>
                <c:pt idx="21">
                  <c:v>3869177025.0664253</c:v>
                </c:pt>
                <c:pt idx="22">
                  <c:v>4119117273.2717967</c:v>
                </c:pt>
                <c:pt idx="23">
                  <c:v>4384482330.4544001</c:v>
                </c:pt>
                <c:pt idx="24">
                  <c:v>4666155808.6341181</c:v>
                </c:pt>
                <c:pt idx="25">
                  <c:v>4965065160.3253946</c:v>
                </c:pt>
                <c:pt idx="26">
                  <c:v>5282183129.34163</c:v>
                </c:pt>
                <c:pt idx="27">
                  <c:v>5618529160.2263527</c:v>
                </c:pt>
                <c:pt idx="28">
                  <c:v>5975170750.95399</c:v>
                </c:pt>
                <c:pt idx="29">
                  <c:v>6353224731.3930635</c:v>
                </c:pt>
                <c:pt idx="30">
                  <c:v>6753858447.6322374</c:v>
                </c:pt>
              </c:numCache>
            </c:numRef>
          </c:val>
          <c:smooth val="0"/>
          <c:extLst>
            <c:ext xmlns:c16="http://schemas.microsoft.com/office/drawing/2014/chart" uri="{C3380CC4-5D6E-409C-BE32-E72D297353CC}">
              <c16:uniqueId val="{00000000-57A5-4E05-B423-8AC6A91B1628}"/>
            </c:ext>
          </c:extLst>
        </c:ser>
        <c:ser>
          <c:idx val="1"/>
          <c:order val="1"/>
          <c:tx>
            <c:strRef>
              <c:f>'1'!$AU$13</c:f>
              <c:strCache>
                <c:ptCount val="1"/>
                <c:pt idx="0">
                  <c:v> High </c:v>
                </c:pt>
              </c:strCache>
            </c:strRef>
          </c:tx>
          <c:spPr>
            <a:ln w="28575" cap="rnd">
              <a:solidFill>
                <a:schemeClr val="accent2"/>
              </a:solidFill>
              <a:round/>
            </a:ln>
            <a:effectLst/>
          </c:spPr>
          <c:marker>
            <c:symbol val="none"/>
          </c:marker>
          <c:cat>
            <c:numRef>
              <c:f>'1'!$AS$14:$AS$44</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f>'1'!$AU$14:$AU$44</c:f>
              <c:numCache>
                <c:formatCode>_(* #,##0_);_(* \(#,##0\);_(* "-"??_);_(@_)</c:formatCode>
                <c:ptCount val="31"/>
                <c:pt idx="0">
                  <c:v>803520000</c:v>
                </c:pt>
                <c:pt idx="1">
                  <c:v>1074646932.48</c:v>
                </c:pt>
                <c:pt idx="2">
                  <c:v>1194328329.2906432</c:v>
                </c:pt>
                <c:pt idx="3">
                  <c:v>1327200210.1251938</c:v>
                </c:pt>
                <c:pt idx="4">
                  <c:v>1474697655.9135954</c:v>
                </c:pt>
                <c:pt idx="5">
                  <c:v>1638409326.7284715</c:v>
                </c:pt>
                <c:pt idx="6">
                  <c:v>1820093544.1599669</c:v>
                </c:pt>
                <c:pt idx="7">
                  <c:v>2021696008.0793338</c:v>
                </c:pt>
                <c:pt idx="8">
                  <c:v>2245369306.7396026</c:v>
                </c:pt>
                <c:pt idx="9">
                  <c:v>2493494393.5607138</c:v>
                </c:pt>
                <c:pt idx="10">
                  <c:v>2768704219.485888</c:v>
                </c:pt>
                <c:pt idx="11">
                  <c:v>3073909726.5389485</c:v>
                </c:pt>
                <c:pt idx="12">
                  <c:v>3412328426.2200618</c:v>
                </c:pt>
                <c:pt idx="13">
                  <c:v>3787515805.7082992</c:v>
                </c:pt>
                <c:pt idx="14">
                  <c:v>4203399825.547111</c:v>
                </c:pt>
                <c:pt idx="15">
                  <c:v>4664318794.6200066</c:v>
                </c:pt>
                <c:pt idx="16">
                  <c:v>5175062931.8160849</c:v>
                </c:pt>
                <c:pt idx="17">
                  <c:v>5740919948.8638563</c:v>
                </c:pt>
                <c:pt idx="18">
                  <c:v>6367725015.3865414</c:v>
                </c:pt>
                <c:pt idx="19">
                  <c:v>7061915495.2924137</c:v>
                </c:pt>
                <c:pt idx="20">
                  <c:v>7830590873.1240005</c:v>
                </c:pt>
                <c:pt idx="21">
                  <c:v>8681578319.8836002</c:v>
                </c:pt>
                <c:pt idx="22">
                  <c:v>9623504380.0245037</c:v>
                </c:pt>
                <c:pt idx="23">
                  <c:v>10665873294.59642</c:v>
                </c:pt>
                <c:pt idx="24">
                  <c:v>11819152509.751736</c:v>
                </c:pt>
                <c:pt idx="25">
                  <c:v>13094865954.68078</c:v>
                </c:pt>
                <c:pt idx="26">
                  <c:v>14505695708.191759</c:v>
                </c:pt>
                <c:pt idx="27">
                  <c:v>16065592708.129843</c:v>
                </c:pt>
                <c:pt idx="28">
                  <c:v>17789897192.06926</c:v>
                </c:pt>
                <c:pt idx="29">
                  <c:v>19695469590.504063</c:v>
                </c:pt>
                <c:pt idx="30">
                  <c:v>24584116496.750523</c:v>
                </c:pt>
              </c:numCache>
            </c:numRef>
          </c:val>
          <c:smooth val="0"/>
          <c:extLst>
            <c:ext xmlns:c16="http://schemas.microsoft.com/office/drawing/2014/chart" uri="{C3380CC4-5D6E-409C-BE32-E72D297353CC}">
              <c16:uniqueId val="{00000001-57A5-4E05-B423-8AC6A91B1628}"/>
            </c:ext>
          </c:extLst>
        </c:ser>
        <c:ser>
          <c:idx val="2"/>
          <c:order val="2"/>
          <c:tx>
            <c:strRef>
              <c:f>'1'!$AV$13</c:f>
              <c:strCache>
                <c:ptCount val="1"/>
                <c:pt idx="0">
                  <c:v> Low </c:v>
                </c:pt>
              </c:strCache>
            </c:strRef>
          </c:tx>
          <c:spPr>
            <a:ln w="28575" cap="rnd">
              <a:solidFill>
                <a:schemeClr val="accent3"/>
              </a:solidFill>
              <a:round/>
            </a:ln>
            <a:effectLst/>
          </c:spPr>
          <c:marker>
            <c:symbol val="none"/>
          </c:marker>
          <c:cat>
            <c:numRef>
              <c:f>'1'!$AS$14:$AS$44</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f>'1'!$AV$14:$AV$44</c:f>
              <c:numCache>
                <c:formatCode>_(* #,##0_);_(* \(#,##0\);_(* "-"??_);_(@_)</c:formatCode>
                <c:ptCount val="31"/>
                <c:pt idx="0">
                  <c:v>803520000</c:v>
                </c:pt>
                <c:pt idx="1">
                  <c:v>1074646932.48</c:v>
                </c:pt>
                <c:pt idx="2">
                  <c:v>1128765775.2219653</c:v>
                </c:pt>
                <c:pt idx="3">
                  <c:v>1185486574.3032005</c:v>
                </c:pt>
                <c:pt idx="4">
                  <c:v>1244925283.3200443</c:v>
                </c:pt>
                <c:pt idx="5">
                  <c:v>1307202313.6747088</c:v>
                </c:pt>
                <c:pt idx="6">
                  <c:v>1372442646.5576358</c:v>
                </c:pt>
                <c:pt idx="7">
                  <c:v>1440775941.9793525</c:v>
                </c:pt>
                <c:pt idx="8">
                  <c:v>1512336644.0736609</c:v>
                </c:pt>
                <c:pt idx="9">
                  <c:v>1587264081.8099461</c:v>
                </c:pt>
                <c:pt idx="10">
                  <c:v>1665702564.1609666</c:v>
                </c:pt>
                <c:pt idx="11">
                  <c:v>1747801468.6731412</c:v>
                </c:pt>
                <c:pt idx="12">
                  <c:v>1833715322.2783797</c:v>
                </c:pt>
                <c:pt idx="13">
                  <c:v>1923603873.0693219</c:v>
                </c:pt>
                <c:pt idx="14">
                  <c:v>2017632151.6326478</c:v>
                </c:pt>
                <c:pt idx="15">
                  <c:v>2115970520.3971651</c:v>
                </c:pt>
                <c:pt idx="16">
                  <c:v>2218794709.3038206</c:v>
                </c:pt>
                <c:pt idx="17">
                  <c:v>2326285835.9426889</c:v>
                </c:pt>
                <c:pt idx="18">
                  <c:v>2438630408.1264377</c:v>
                </c:pt>
                <c:pt idx="19">
                  <c:v>2556020306.6796689</c:v>
                </c:pt>
                <c:pt idx="20">
                  <c:v>2621565885.0731897</c:v>
                </c:pt>
                <c:pt idx="21">
                  <c:v>2631899770.0964127</c:v>
                </c:pt>
                <c:pt idx="22">
                  <c:v>2641851016.4423347</c:v>
                </c:pt>
                <c:pt idx="23">
                  <c:v>2651404017.4575596</c:v>
                </c:pt>
                <c:pt idx="24">
                  <c:v>2660542752.8631864</c:v>
                </c:pt>
                <c:pt idx="25">
                  <c:v>2669250779.3075905</c:v>
                </c:pt>
                <c:pt idx="26">
                  <c:v>2677511220.7192879</c:v>
                </c:pt>
                <c:pt idx="27">
                  <c:v>2685306758.4558282</c:v>
                </c:pt>
                <c:pt idx="28">
                  <c:v>2692619621.2446094</c:v>
                </c:pt>
                <c:pt idx="29">
                  <c:v>2699431574.9114113</c:v>
                </c:pt>
                <c:pt idx="30">
                  <c:v>3092255899.305563</c:v>
                </c:pt>
              </c:numCache>
            </c:numRef>
          </c:val>
          <c:smooth val="0"/>
          <c:extLst>
            <c:ext xmlns:c16="http://schemas.microsoft.com/office/drawing/2014/chart" uri="{C3380CC4-5D6E-409C-BE32-E72D297353CC}">
              <c16:uniqueId val="{00000002-57A5-4E05-B423-8AC6A91B1628}"/>
            </c:ext>
          </c:extLst>
        </c:ser>
        <c:dLbls>
          <c:showLegendKey val="0"/>
          <c:showVal val="0"/>
          <c:showCatName val="0"/>
          <c:showSerName val="0"/>
          <c:showPercent val="0"/>
          <c:showBubbleSize val="0"/>
        </c:dLbls>
        <c:smooth val="0"/>
        <c:axId val="2081486016"/>
        <c:axId val="2081489760"/>
      </c:lineChart>
      <c:catAx>
        <c:axId val="208148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1489760"/>
        <c:crosses val="autoZero"/>
        <c:auto val="1"/>
        <c:lblAlgn val="ctr"/>
        <c:lblOffset val="100"/>
        <c:noMultiLvlLbl val="0"/>
      </c:catAx>
      <c:valAx>
        <c:axId val="208148976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1486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7" Type="http://schemas.openxmlformats.org/officeDocument/2006/relationships/image" Target="../media/image3.png"/><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26</xdr:col>
      <xdr:colOff>371475</xdr:colOff>
      <xdr:row>12</xdr:row>
      <xdr:rowOff>109536</xdr:rowOff>
    </xdr:from>
    <xdr:to>
      <xdr:col>34</xdr:col>
      <xdr:colOff>66675</xdr:colOff>
      <xdr:row>31</xdr:row>
      <xdr:rowOff>152399</xdr:rowOff>
    </xdr:to>
    <xdr:graphicFrame macro="">
      <xdr:nvGraphicFramePr>
        <xdr:cNvPr id="3" name="Chart 2">
          <a:extLst>
            <a:ext uri="{FF2B5EF4-FFF2-40B4-BE49-F238E27FC236}">
              <a16:creationId xmlns:a16="http://schemas.microsoft.com/office/drawing/2014/main" id="{44C68377-F8AC-EFE7-80F1-E3F2310166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371475</xdr:colOff>
      <xdr:row>32</xdr:row>
      <xdr:rowOff>42862</xdr:rowOff>
    </xdr:from>
    <xdr:to>
      <xdr:col>38</xdr:col>
      <xdr:colOff>66675</xdr:colOff>
      <xdr:row>46</xdr:row>
      <xdr:rowOff>119062</xdr:rowOff>
    </xdr:to>
    <xdr:graphicFrame macro="">
      <xdr:nvGraphicFramePr>
        <xdr:cNvPr id="4" name="Chart 3">
          <a:extLst>
            <a:ext uri="{FF2B5EF4-FFF2-40B4-BE49-F238E27FC236}">
              <a16:creationId xmlns:a16="http://schemas.microsoft.com/office/drawing/2014/main" id="{44A43073-F8C2-02E8-AB30-48902CAA5E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10</xdr:row>
      <xdr:rowOff>55562</xdr:rowOff>
    </xdr:from>
    <xdr:to>
      <xdr:col>12</xdr:col>
      <xdr:colOff>76200</xdr:colOff>
      <xdr:row>25</xdr:row>
      <xdr:rowOff>77787</xdr:rowOff>
    </xdr:to>
    <xdr:graphicFrame macro="">
      <xdr:nvGraphicFramePr>
        <xdr:cNvPr id="2" name="Chart 1">
          <a:extLst>
            <a:ext uri="{FF2B5EF4-FFF2-40B4-BE49-F238E27FC236}">
              <a16:creationId xmlns:a16="http://schemas.microsoft.com/office/drawing/2014/main" id="{6A77D08F-3DC0-4AFF-9A7B-D437435A00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285750</xdr:colOff>
      <xdr:row>9</xdr:row>
      <xdr:rowOff>36512</xdr:rowOff>
    </xdr:from>
    <xdr:to>
      <xdr:col>24</xdr:col>
      <xdr:colOff>590550</xdr:colOff>
      <xdr:row>24</xdr:row>
      <xdr:rowOff>58737</xdr:rowOff>
    </xdr:to>
    <xdr:graphicFrame macro="">
      <xdr:nvGraphicFramePr>
        <xdr:cNvPr id="5" name="Chart 4">
          <a:extLst>
            <a:ext uri="{FF2B5EF4-FFF2-40B4-BE49-F238E27FC236}">
              <a16:creationId xmlns:a16="http://schemas.microsoft.com/office/drawing/2014/main" id="{82F3CBFE-8449-43AC-91CF-7804176EAE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30</xdr:col>
      <xdr:colOff>311150</xdr:colOff>
      <xdr:row>9</xdr:row>
      <xdr:rowOff>106362</xdr:rowOff>
    </xdr:from>
    <xdr:to>
      <xdr:col>38</xdr:col>
      <xdr:colOff>6350</xdr:colOff>
      <xdr:row>24</xdr:row>
      <xdr:rowOff>125412</xdr:rowOff>
    </xdr:to>
    <xdr:graphicFrame macro="">
      <xdr:nvGraphicFramePr>
        <xdr:cNvPr id="6" name="Chart 5">
          <a:extLst>
            <a:ext uri="{FF2B5EF4-FFF2-40B4-BE49-F238E27FC236}">
              <a16:creationId xmlns:a16="http://schemas.microsoft.com/office/drawing/2014/main" id="{69EA2308-763F-4A59-BF1D-359B66F9F4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48</xdr:col>
      <xdr:colOff>390525</xdr:colOff>
      <xdr:row>12</xdr:row>
      <xdr:rowOff>160337</xdr:rowOff>
    </xdr:from>
    <xdr:to>
      <xdr:col>56</xdr:col>
      <xdr:colOff>82550</xdr:colOff>
      <xdr:row>28</xdr:row>
      <xdr:rowOff>1587</xdr:rowOff>
    </xdr:to>
    <xdr:graphicFrame macro="">
      <xdr:nvGraphicFramePr>
        <xdr:cNvPr id="7" name="Chart 6">
          <a:extLst>
            <a:ext uri="{FF2B5EF4-FFF2-40B4-BE49-F238E27FC236}">
              <a16:creationId xmlns:a16="http://schemas.microsoft.com/office/drawing/2014/main" id="{CDA2056C-77FD-43F2-8848-0E73ECFA55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59</xdr:col>
      <xdr:colOff>539751</xdr:colOff>
      <xdr:row>8</xdr:row>
      <xdr:rowOff>117474</xdr:rowOff>
    </xdr:from>
    <xdr:to>
      <xdr:col>66</xdr:col>
      <xdr:colOff>301625</xdr:colOff>
      <xdr:row>25</xdr:row>
      <xdr:rowOff>46374</xdr:rowOff>
    </xdr:to>
    <xdr:pic>
      <xdr:nvPicPr>
        <xdr:cNvPr id="8" name="Picture 7" descr="Metropolitan Area Planning (MAP)">
          <a:extLst>
            <a:ext uri="{FF2B5EF4-FFF2-40B4-BE49-F238E27FC236}">
              <a16:creationId xmlns:a16="http://schemas.microsoft.com/office/drawing/2014/main" id="{B2BB6983-C8F8-4CBF-83CB-3FC06E0D240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9182676" y="1565274"/>
          <a:ext cx="4029074" cy="300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62</xdr:col>
      <xdr:colOff>241151</xdr:colOff>
      <xdr:row>15</xdr:row>
      <xdr:rowOff>85508</xdr:rowOff>
    </xdr:from>
    <xdr:to>
      <xdr:col>63</xdr:col>
      <xdr:colOff>116394</xdr:colOff>
      <xdr:row>19</xdr:row>
      <xdr:rowOff>45478</xdr:rowOff>
    </xdr:to>
    <xdr:sp macro="" textlink="">
      <xdr:nvSpPr>
        <xdr:cNvPr id="9" name="Oval 8">
          <a:extLst>
            <a:ext uri="{FF2B5EF4-FFF2-40B4-BE49-F238E27FC236}">
              <a16:creationId xmlns:a16="http://schemas.microsoft.com/office/drawing/2014/main" id="{213F668D-497A-4F93-8C4C-6E30DEA96AA4}"/>
            </a:ext>
          </a:extLst>
        </xdr:cNvPr>
        <xdr:cNvSpPr/>
      </xdr:nvSpPr>
      <xdr:spPr>
        <a:xfrm rot="1254623">
          <a:off x="40712876" y="2800133"/>
          <a:ext cx="484843" cy="683870"/>
        </a:xfrm>
        <a:prstGeom prst="ellipse">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twoCellAnchor>
    <xdr:from>
      <xdr:col>60</xdr:col>
      <xdr:colOff>118454</xdr:colOff>
      <xdr:row>17</xdr:row>
      <xdr:rowOff>122041</xdr:rowOff>
    </xdr:from>
    <xdr:to>
      <xdr:col>60</xdr:col>
      <xdr:colOff>428954</xdr:colOff>
      <xdr:row>18</xdr:row>
      <xdr:rowOff>166718</xdr:rowOff>
    </xdr:to>
    <xdr:sp macro="" textlink="">
      <xdr:nvSpPr>
        <xdr:cNvPr id="10" name="Oval 9">
          <a:extLst>
            <a:ext uri="{FF2B5EF4-FFF2-40B4-BE49-F238E27FC236}">
              <a16:creationId xmlns:a16="http://schemas.microsoft.com/office/drawing/2014/main" id="{172A5792-656D-44BB-82A1-B761F439C972}"/>
            </a:ext>
          </a:extLst>
        </xdr:cNvPr>
        <xdr:cNvSpPr/>
      </xdr:nvSpPr>
      <xdr:spPr>
        <a:xfrm rot="3433568">
          <a:off x="39413403" y="3156192"/>
          <a:ext cx="225652" cy="310500"/>
        </a:xfrm>
        <a:prstGeom prst="ellipse">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59</xdr:col>
      <xdr:colOff>72572</xdr:colOff>
      <xdr:row>31</xdr:row>
      <xdr:rowOff>154214</xdr:rowOff>
    </xdr:from>
    <xdr:to>
      <xdr:col>69</xdr:col>
      <xdr:colOff>66222</xdr:colOff>
      <xdr:row>57</xdr:row>
      <xdr:rowOff>21292</xdr:rowOff>
    </xdr:to>
    <xdr:pic>
      <xdr:nvPicPr>
        <xdr:cNvPr id="11" name="Picture 10">
          <a:extLst>
            <a:ext uri="{FF2B5EF4-FFF2-40B4-BE49-F238E27FC236}">
              <a16:creationId xmlns:a16="http://schemas.microsoft.com/office/drawing/2014/main" id="{6464E7C7-408F-4995-86E2-E6A65C8DB1D0}"/>
            </a:ext>
          </a:extLst>
        </xdr:cNvPr>
        <xdr:cNvPicPr>
          <a:picLocks noChangeAspect="1"/>
        </xdr:cNvPicPr>
      </xdr:nvPicPr>
      <xdr:blipFill>
        <a:blip xmlns:r="http://schemas.openxmlformats.org/officeDocument/2006/relationships" r:embed="rId6"/>
        <a:stretch>
          <a:fillRect/>
        </a:stretch>
      </xdr:blipFill>
      <xdr:spPr>
        <a:xfrm>
          <a:off x="38626143" y="5778500"/>
          <a:ext cx="6077858" cy="4584222"/>
        </a:xfrm>
        <a:prstGeom prst="rect">
          <a:avLst/>
        </a:prstGeom>
      </xdr:spPr>
    </xdr:pic>
    <xdr:clientData/>
  </xdr:twoCellAnchor>
  <xdr:twoCellAnchor editAs="oneCell">
    <xdr:from>
      <xdr:col>0</xdr:col>
      <xdr:colOff>0</xdr:colOff>
      <xdr:row>64</xdr:row>
      <xdr:rowOff>0</xdr:rowOff>
    </xdr:from>
    <xdr:to>
      <xdr:col>15</xdr:col>
      <xdr:colOff>46398</xdr:colOff>
      <xdr:row>100</xdr:row>
      <xdr:rowOff>594</xdr:rowOff>
    </xdr:to>
    <xdr:pic>
      <xdr:nvPicPr>
        <xdr:cNvPr id="3" name="Picture 2">
          <a:extLst>
            <a:ext uri="{FF2B5EF4-FFF2-40B4-BE49-F238E27FC236}">
              <a16:creationId xmlns:a16="http://schemas.microsoft.com/office/drawing/2014/main" id="{0DD97C24-F6FA-41F8-8167-6BCDE91679EF}"/>
            </a:ext>
          </a:extLst>
        </xdr:cNvPr>
        <xdr:cNvPicPr>
          <a:picLocks noChangeAspect="1"/>
        </xdr:cNvPicPr>
      </xdr:nvPicPr>
      <xdr:blipFill>
        <a:blip xmlns:r="http://schemas.openxmlformats.org/officeDocument/2006/relationships" r:embed="rId7"/>
        <a:stretch>
          <a:fillRect/>
        </a:stretch>
      </xdr:blipFill>
      <xdr:spPr>
        <a:xfrm>
          <a:off x="0" y="12261273"/>
          <a:ext cx="9144793" cy="685859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0A8F58-9C2B-48C2-87DF-9B58BE5F43E5}" name="Table1" displayName="Table1" ref="A1:E10" totalsRowShown="0" headerRowDxfId="9" dataDxfId="8">
  <autoFilter ref="A1:E10" xr:uid="{500A8F58-9C2B-48C2-87DF-9B58BE5F43E5}"/>
  <tableColumns count="5">
    <tableColumn id="1" xr3:uid="{DEA80985-91AC-4F75-81CF-DE23B5B30A50}" name="#" dataDxfId="7"/>
    <tableColumn id="2" xr3:uid="{F12D0431-23FC-4359-A78A-8BC9AC9EDF84}" name="Trend" dataDxfId="6"/>
    <tableColumn id="3" xr3:uid="{70812BF7-3EFB-41CB-88A1-B90248AB74D8}" name="Effects on Freight and Logistics" dataDxfId="5"/>
    <tableColumn id="4" xr3:uid="{1E735C75-4CAF-48F2-A7E1-50610FA22D5B}" name="Effects on Land Use" dataDxfId="4"/>
    <tableColumn id="5" xr3:uid="{35E2C891-46D6-4346-892A-6BB56971AE28}" name="PFAC Freight Subcommittee Member Comments_x000a_(PLEASE ADD YOUR COMMENTS IN THIS COLUMN)" dataDxfId="3" dataCellStyle="40% - Accent6"/>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DB4767-6C3F-4B22-A229-240D15FEE804}" name="Table2" displayName="Table2" ref="G29:I32" totalsRowShown="0">
  <autoFilter ref="G29:I32" xr:uid="{3BDB4767-6C3F-4B22-A229-240D15FEE804}"/>
  <tableColumns count="3">
    <tableColumn id="1" xr3:uid="{1861FA98-40C6-4162-A304-3656D18373BC}" name="Land Use Category" dataDxfId="2"/>
    <tableColumn id="2" xr3:uid="{8B4F940A-2240-4DDB-9DDF-251E44D63C6D}" name="Sea Level Rise: 1 foot" dataDxfId="1"/>
    <tableColumn id="3" xr3:uid="{035DD0B2-1EA7-4664-9573-29337489CA1E}" name="Sea Level Rise: 5 fee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cnbc.com/2020/07/09/us-may-need-another-1-billion-square-feet-of-warehouse-space-by-2025.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n.wikipedia.org/wiki/Distributed_manufacturing"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5.bin"/><Relationship Id="rId1" Type="http://schemas.openxmlformats.org/officeDocument/2006/relationships/hyperlink" Target="https://coast.noaa.gov/slrdata/"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nbc.com/2021/07/01/warehouse-demand-at-unprecedented-levels-in-cities-like-savannah-jl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5CE0A-7A8C-4365-9464-4706C1CDF44C}">
  <dimension ref="A1:E10"/>
  <sheetViews>
    <sheetView topLeftCell="C10" zoomScaleNormal="100" workbookViewId="0">
      <selection activeCell="D10" sqref="D10"/>
    </sheetView>
  </sheetViews>
  <sheetFormatPr defaultColWidth="9.1796875" defaultRowHeight="14.5" x14ac:dyDescent="0.35"/>
  <cols>
    <col min="1" max="1" width="9.1796875" style="1"/>
    <col min="2" max="2" width="30" style="1" bestFit="1" customWidth="1"/>
    <col min="3" max="3" width="57.26953125" style="1" bestFit="1" customWidth="1"/>
    <col min="4" max="4" width="48" style="1" customWidth="1"/>
    <col min="5" max="5" width="67.453125" style="4" hidden="1" customWidth="1"/>
    <col min="6" max="16384" width="9.1796875" style="1"/>
  </cols>
  <sheetData>
    <row r="1" spans="1:5" ht="29" x14ac:dyDescent="0.35">
      <c r="A1" s="1" t="s">
        <v>11</v>
      </c>
      <c r="B1" s="1" t="s">
        <v>0</v>
      </c>
      <c r="C1" s="1" t="s">
        <v>2</v>
      </c>
      <c r="D1" s="1" t="s">
        <v>3</v>
      </c>
      <c r="E1" s="5" t="s">
        <v>32</v>
      </c>
    </row>
    <row r="2" spans="1:5" ht="145" x14ac:dyDescent="0.35">
      <c r="A2" s="1">
        <v>1</v>
      </c>
      <c r="B2" s="1" t="s">
        <v>1</v>
      </c>
      <c r="C2" s="1" t="s">
        <v>24</v>
      </c>
      <c r="D2" s="1" t="s">
        <v>25</v>
      </c>
    </row>
    <row r="3" spans="1:5" ht="58" x14ac:dyDescent="0.35">
      <c r="A3" s="1">
        <v>2</v>
      </c>
      <c r="B3" s="1" t="s">
        <v>4</v>
      </c>
      <c r="C3" s="1" t="s">
        <v>12</v>
      </c>
      <c r="D3" s="1" t="s">
        <v>26</v>
      </c>
    </row>
    <row r="4" spans="1:5" ht="130.5" x14ac:dyDescent="0.35">
      <c r="A4" s="1">
        <v>3</v>
      </c>
      <c r="B4" s="1" t="s">
        <v>5</v>
      </c>
      <c r="C4" s="1" t="s">
        <v>27</v>
      </c>
      <c r="D4" s="1" t="s">
        <v>28</v>
      </c>
    </row>
    <row r="5" spans="1:5" ht="101.5" x14ac:dyDescent="0.35">
      <c r="A5" s="1">
        <v>4</v>
      </c>
      <c r="B5" s="1" t="s">
        <v>6</v>
      </c>
      <c r="C5" s="1" t="s">
        <v>14</v>
      </c>
      <c r="D5" s="1" t="s">
        <v>15</v>
      </c>
    </row>
    <row r="6" spans="1:5" ht="58" x14ac:dyDescent="0.35">
      <c r="A6" s="1">
        <v>5</v>
      </c>
      <c r="B6" s="1" t="s">
        <v>7</v>
      </c>
      <c r="C6" s="1" t="s">
        <v>17</v>
      </c>
      <c r="D6" s="1" t="s">
        <v>16</v>
      </c>
    </row>
    <row r="7" spans="1:5" ht="58" x14ac:dyDescent="0.35">
      <c r="A7" s="1">
        <v>6</v>
      </c>
      <c r="B7" s="1" t="s">
        <v>8</v>
      </c>
      <c r="C7" s="1" t="s">
        <v>18</v>
      </c>
      <c r="D7" s="1" t="s">
        <v>19</v>
      </c>
    </row>
    <row r="8" spans="1:5" ht="145" x14ac:dyDescent="0.35">
      <c r="A8" s="1">
        <v>7</v>
      </c>
      <c r="B8" s="1" t="s">
        <v>9</v>
      </c>
      <c r="C8" s="1" t="s">
        <v>21</v>
      </c>
      <c r="D8" s="1" t="s">
        <v>20</v>
      </c>
    </row>
    <row r="9" spans="1:5" ht="72.5" x14ac:dyDescent="0.35">
      <c r="A9" s="1">
        <v>8</v>
      </c>
      <c r="B9" s="1" t="s">
        <v>13</v>
      </c>
      <c r="C9" s="1" t="s">
        <v>22</v>
      </c>
      <c r="D9" s="1" t="s">
        <v>23</v>
      </c>
    </row>
    <row r="10" spans="1:5" ht="116" x14ac:dyDescent="0.35">
      <c r="A10" s="1">
        <v>9</v>
      </c>
      <c r="B10" s="1" t="s">
        <v>10</v>
      </c>
      <c r="C10" s="1" t="s">
        <v>29</v>
      </c>
      <c r="D10" s="1" t="s">
        <v>30</v>
      </c>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F326B-D51C-48AE-84B0-CC651FC361AC}">
  <dimension ref="A1:AF47"/>
  <sheetViews>
    <sheetView workbookViewId="0">
      <selection activeCell="AN38" sqref="AN38"/>
    </sheetView>
  </sheetViews>
  <sheetFormatPr defaultRowHeight="14.5" x14ac:dyDescent="0.35"/>
  <cols>
    <col min="2" max="6" width="13.26953125" bestFit="1" customWidth="1"/>
    <col min="16" max="16" width="12.54296875" bestFit="1" customWidth="1"/>
  </cols>
  <sheetData>
    <row r="1" spans="1:32" x14ac:dyDescent="0.35">
      <c r="A1" t="s">
        <v>127</v>
      </c>
      <c r="B1">
        <v>1980</v>
      </c>
      <c r="C1">
        <v>1990</v>
      </c>
      <c r="D1">
        <v>2000</v>
      </c>
      <c r="E1">
        <v>2010</v>
      </c>
      <c r="F1">
        <v>2020</v>
      </c>
      <c r="G1">
        <v>2021</v>
      </c>
      <c r="J1" t="s">
        <v>163</v>
      </c>
      <c r="K1" t="s">
        <v>164</v>
      </c>
      <c r="L1" t="s">
        <v>165</v>
      </c>
      <c r="M1" t="s">
        <v>166</v>
      </c>
      <c r="N1" t="s">
        <v>167</v>
      </c>
      <c r="O1" t="s">
        <v>168</v>
      </c>
      <c r="P1" t="s">
        <v>169</v>
      </c>
      <c r="R1" t="s">
        <v>171</v>
      </c>
      <c r="S1" t="s">
        <v>164</v>
      </c>
      <c r="T1" t="s">
        <v>165</v>
      </c>
      <c r="U1" t="s">
        <v>166</v>
      </c>
      <c r="V1" t="s">
        <v>167</v>
      </c>
      <c r="W1" t="s">
        <v>168</v>
      </c>
      <c r="X1" t="s">
        <v>169</v>
      </c>
    </row>
    <row r="2" spans="1:32" x14ac:dyDescent="0.35">
      <c r="A2" t="s">
        <v>128</v>
      </c>
      <c r="B2" s="16">
        <v>1168972</v>
      </c>
      <c r="C2" s="16">
        <v>1203789</v>
      </c>
      <c r="D2" s="16">
        <v>1332650</v>
      </c>
      <c r="E2" s="16">
        <v>1385108</v>
      </c>
      <c r="F2" s="16">
        <v>1472654</v>
      </c>
      <c r="J2" t="s">
        <v>128</v>
      </c>
      <c r="K2" s="14">
        <f>C2-B2</f>
        <v>34817</v>
      </c>
      <c r="L2" s="14">
        <f t="shared" ref="L2:N2" si="0">D2-C2</f>
        <v>128861</v>
      </c>
      <c r="M2" s="14">
        <f t="shared" si="0"/>
        <v>52458</v>
      </c>
      <c r="N2" s="14">
        <f t="shared" si="0"/>
        <v>87546</v>
      </c>
      <c r="O2" s="14">
        <f>F2-D2</f>
        <v>140004</v>
      </c>
      <c r="P2" s="14">
        <f>F2-B2</f>
        <v>303682</v>
      </c>
      <c r="R2" t="s">
        <v>128</v>
      </c>
      <c r="S2" s="12">
        <f>K2/B2</f>
        <v>2.9784289101877547E-2</v>
      </c>
      <c r="T2" s="12">
        <f t="shared" ref="T2:V17" si="1">L2/C2</f>
        <v>0.10704616838997531</v>
      </c>
      <c r="U2" s="12">
        <f t="shared" si="1"/>
        <v>3.936367388286497E-2</v>
      </c>
      <c r="V2" s="12">
        <f>N2/E2</f>
        <v>6.3205179668300235E-2</v>
      </c>
      <c r="W2" s="12">
        <f>O2/D2</f>
        <v>0.10505684163133606</v>
      </c>
      <c r="X2" s="12">
        <f>P2/B2</f>
        <v>0.25978552095345314</v>
      </c>
    </row>
    <row r="3" spans="1:32" x14ac:dyDescent="0.35">
      <c r="A3" t="s">
        <v>129</v>
      </c>
      <c r="B3" s="16">
        <v>2230936</v>
      </c>
      <c r="C3" s="16">
        <v>2300664</v>
      </c>
      <c r="D3" s="16">
        <v>2465326</v>
      </c>
      <c r="E3" s="16">
        <v>2504700</v>
      </c>
      <c r="F3" s="16">
        <v>2736074</v>
      </c>
      <c r="J3" t="s">
        <v>129</v>
      </c>
      <c r="K3" s="14">
        <f t="shared" ref="K3:K6" si="2">C3-B3</f>
        <v>69728</v>
      </c>
      <c r="L3" s="14">
        <f t="shared" ref="L3:L6" si="3">D3-C3</f>
        <v>164662</v>
      </c>
      <c r="M3" s="14">
        <f t="shared" ref="M3:M6" si="4">E3-D3</f>
        <v>39374</v>
      </c>
      <c r="N3" s="14">
        <f t="shared" ref="N3:N6" si="5">F3-E3</f>
        <v>231374</v>
      </c>
      <c r="O3" s="14">
        <f t="shared" ref="O3:O6" si="6">F3-D3</f>
        <v>270748</v>
      </c>
      <c r="P3" s="14">
        <f t="shared" ref="P3:P6" si="7">F3-B3</f>
        <v>505138</v>
      </c>
      <c r="R3" t="s">
        <v>129</v>
      </c>
      <c r="S3" s="12">
        <f t="shared" ref="S3:S40" si="8">K3/B3</f>
        <v>3.1255042726460999E-2</v>
      </c>
      <c r="T3" s="12">
        <f t="shared" si="1"/>
        <v>7.1571511528845583E-2</v>
      </c>
      <c r="U3" s="12">
        <f t="shared" si="1"/>
        <v>1.5971112948145599E-2</v>
      </c>
      <c r="V3" s="12">
        <f t="shared" si="1"/>
        <v>9.2375933245498462E-2</v>
      </c>
      <c r="W3" s="12">
        <f t="shared" ref="W3:W40" si="9">O3/D3</f>
        <v>0.10982239265719827</v>
      </c>
      <c r="X3" s="12">
        <f t="shared" ref="X3:X40" si="10">P3/B3</f>
        <v>0.22642424524952756</v>
      </c>
    </row>
    <row r="4" spans="1:32" x14ac:dyDescent="0.35">
      <c r="A4" t="s">
        <v>130</v>
      </c>
      <c r="B4" s="16">
        <v>1428285</v>
      </c>
      <c r="C4" s="16">
        <v>1487536</v>
      </c>
      <c r="D4" s="16">
        <v>1537195</v>
      </c>
      <c r="E4" s="16">
        <v>1585873</v>
      </c>
      <c r="F4" s="16">
        <v>1694251</v>
      </c>
      <c r="J4" t="s">
        <v>130</v>
      </c>
      <c r="K4" s="14">
        <f t="shared" si="2"/>
        <v>59251</v>
      </c>
      <c r="L4" s="14">
        <f t="shared" si="3"/>
        <v>49659</v>
      </c>
      <c r="M4" s="14">
        <f t="shared" si="4"/>
        <v>48678</v>
      </c>
      <c r="N4" s="14">
        <f t="shared" si="5"/>
        <v>108378</v>
      </c>
      <c r="O4" s="14">
        <f t="shared" si="6"/>
        <v>157056</v>
      </c>
      <c r="P4" s="14">
        <f t="shared" si="7"/>
        <v>265966</v>
      </c>
      <c r="R4" t="s">
        <v>130</v>
      </c>
      <c r="S4" s="12">
        <f t="shared" si="8"/>
        <v>4.1484017545517879E-2</v>
      </c>
      <c r="T4" s="12">
        <f t="shared" si="1"/>
        <v>3.3383393746437062E-2</v>
      </c>
      <c r="U4" s="12">
        <f t="shared" si="1"/>
        <v>3.1666769668129285E-2</v>
      </c>
      <c r="V4" s="12">
        <f t="shared" si="1"/>
        <v>6.8339646365125073E-2</v>
      </c>
      <c r="W4" s="12">
        <f t="shared" si="9"/>
        <v>0.10217051187390019</v>
      </c>
      <c r="X4" s="12">
        <f t="shared" si="10"/>
        <v>0.18621353581393069</v>
      </c>
    </row>
    <row r="5" spans="1:32" x14ac:dyDescent="0.35">
      <c r="A5" t="s">
        <v>131</v>
      </c>
      <c r="B5" s="16">
        <v>1891325</v>
      </c>
      <c r="C5" s="16">
        <v>1951598</v>
      </c>
      <c r="D5" s="16">
        <v>2229379</v>
      </c>
      <c r="E5" s="16">
        <v>2230722</v>
      </c>
      <c r="F5" s="16">
        <v>2405464</v>
      </c>
      <c r="J5" t="s">
        <v>131</v>
      </c>
      <c r="K5" s="14">
        <f t="shared" si="2"/>
        <v>60273</v>
      </c>
      <c r="L5" s="14">
        <f t="shared" si="3"/>
        <v>277781</v>
      </c>
      <c r="M5" s="14">
        <f t="shared" si="4"/>
        <v>1343</v>
      </c>
      <c r="N5" s="14">
        <f t="shared" si="5"/>
        <v>174742</v>
      </c>
      <c r="O5" s="14">
        <f t="shared" si="6"/>
        <v>176085</v>
      </c>
      <c r="P5" s="14">
        <f t="shared" si="7"/>
        <v>514139</v>
      </c>
      <c r="R5" t="s">
        <v>131</v>
      </c>
      <c r="S5" s="12">
        <f t="shared" si="8"/>
        <v>3.1868134773240984E-2</v>
      </c>
      <c r="T5" s="12">
        <f t="shared" si="1"/>
        <v>0.14233515303868932</v>
      </c>
      <c r="U5" s="12">
        <f t="shared" si="1"/>
        <v>6.0240990876831617E-4</v>
      </c>
      <c r="V5" s="12">
        <f t="shared" si="1"/>
        <v>7.8334279215428904E-2</v>
      </c>
      <c r="W5" s="12">
        <f t="shared" si="9"/>
        <v>7.8983878470192823E-2</v>
      </c>
      <c r="X5" s="12">
        <f t="shared" si="10"/>
        <v>0.27184064082058873</v>
      </c>
    </row>
    <row r="6" spans="1:32" x14ac:dyDescent="0.35">
      <c r="A6" t="s">
        <v>132</v>
      </c>
      <c r="B6" s="16">
        <v>352029</v>
      </c>
      <c r="C6" s="16">
        <v>378977</v>
      </c>
      <c r="D6" s="16">
        <v>443728</v>
      </c>
      <c r="E6" s="16">
        <v>468730</v>
      </c>
      <c r="F6" s="16">
        <v>495747</v>
      </c>
      <c r="J6" t="s">
        <v>132</v>
      </c>
      <c r="K6" s="14">
        <f t="shared" si="2"/>
        <v>26948</v>
      </c>
      <c r="L6" s="14">
        <f t="shared" si="3"/>
        <v>64751</v>
      </c>
      <c r="M6" s="14">
        <f t="shared" si="4"/>
        <v>25002</v>
      </c>
      <c r="N6" s="14">
        <f t="shared" si="5"/>
        <v>27017</v>
      </c>
      <c r="O6" s="14">
        <f t="shared" si="6"/>
        <v>52019</v>
      </c>
      <c r="P6" s="14">
        <f t="shared" si="7"/>
        <v>143718</v>
      </c>
      <c r="R6" t="s">
        <v>132</v>
      </c>
      <c r="S6" s="12">
        <f t="shared" si="8"/>
        <v>7.6550511463544191E-2</v>
      </c>
      <c r="T6" s="12">
        <f t="shared" si="1"/>
        <v>0.17085733435010567</v>
      </c>
      <c r="U6" s="12">
        <f t="shared" si="1"/>
        <v>5.6345328669815745E-2</v>
      </c>
      <c r="V6" s="12">
        <f t="shared" si="1"/>
        <v>5.7638725918972546E-2</v>
      </c>
      <c r="W6" s="12">
        <f t="shared" si="9"/>
        <v>0.11723172754480223</v>
      </c>
      <c r="X6" s="12">
        <f t="shared" si="10"/>
        <v>0.40825613798863164</v>
      </c>
      <c r="AB6" t="s">
        <v>177</v>
      </c>
      <c r="AC6" t="s">
        <v>164</v>
      </c>
      <c r="AD6" t="s">
        <v>165</v>
      </c>
      <c r="AE6" t="s">
        <v>166</v>
      </c>
      <c r="AF6" t="s">
        <v>167</v>
      </c>
    </row>
    <row r="7" spans="1:32" x14ac:dyDescent="0.35">
      <c r="A7" t="s">
        <v>133</v>
      </c>
      <c r="B7" s="16">
        <f>SUM(B2:B6)</f>
        <v>7071547</v>
      </c>
      <c r="C7" s="16">
        <f t="shared" ref="C7:G7" si="11">SUM(C2:C6)</f>
        <v>7322564</v>
      </c>
      <c r="D7" s="16">
        <f t="shared" si="11"/>
        <v>8008278</v>
      </c>
      <c r="E7" s="16">
        <f t="shared" si="11"/>
        <v>8175133</v>
      </c>
      <c r="F7" s="16">
        <f t="shared" si="11"/>
        <v>8804190</v>
      </c>
      <c r="G7">
        <f t="shared" si="11"/>
        <v>0</v>
      </c>
      <c r="J7" t="s">
        <v>133</v>
      </c>
      <c r="K7" s="14">
        <f t="shared" ref="K7:K14" si="12">C7-B7</f>
        <v>251017</v>
      </c>
      <c r="L7" s="14">
        <f t="shared" ref="L7:L14" si="13">D7-C7</f>
        <v>685714</v>
      </c>
      <c r="M7" s="14">
        <f t="shared" ref="M7:M14" si="14">E7-D7</f>
        <v>166855</v>
      </c>
      <c r="N7" s="14">
        <f t="shared" ref="N7:N14" si="15">F7-E7</f>
        <v>629057</v>
      </c>
      <c r="O7" s="14">
        <f t="shared" ref="O7:O14" si="16">F7-D7</f>
        <v>795912</v>
      </c>
      <c r="P7" s="14">
        <f t="shared" ref="P7:P41" si="17">F7-B7</f>
        <v>1732643</v>
      </c>
      <c r="R7" t="s">
        <v>133</v>
      </c>
      <c r="S7" s="12">
        <f t="shared" si="8"/>
        <v>3.5496759054277655E-2</v>
      </c>
      <c r="T7" s="12">
        <f t="shared" si="1"/>
        <v>9.3643974979255903E-2</v>
      </c>
      <c r="U7" s="12">
        <f t="shared" si="1"/>
        <v>2.0835315657123789E-2</v>
      </c>
      <c r="V7" s="12">
        <f t="shared" si="1"/>
        <v>7.6947616632047453E-2</v>
      </c>
      <c r="W7" s="12">
        <f t="shared" si="9"/>
        <v>9.9386160170763307E-2</v>
      </c>
      <c r="X7" s="12">
        <f t="shared" si="10"/>
        <v>0.24501611882095956</v>
      </c>
      <c r="AB7" t="s">
        <v>172</v>
      </c>
      <c r="AC7" s="12">
        <v>3.5496759054277655E-2</v>
      </c>
      <c r="AD7" s="12">
        <v>9.3643974979255903E-2</v>
      </c>
      <c r="AE7" s="12">
        <v>2.0835315657123789E-2</v>
      </c>
      <c r="AF7" s="12">
        <v>7.6947616632047453E-2</v>
      </c>
    </row>
    <row r="8" spans="1:32" x14ac:dyDescent="0.35">
      <c r="B8" s="16"/>
      <c r="C8" s="16"/>
      <c r="D8" s="16"/>
      <c r="E8" s="16"/>
      <c r="F8" s="16"/>
      <c r="K8" s="14"/>
      <c r="L8" s="14"/>
      <c r="M8" s="14"/>
      <c r="N8" s="14"/>
      <c r="O8" s="14"/>
      <c r="P8" s="14"/>
      <c r="S8" s="12"/>
      <c r="T8" s="12"/>
      <c r="U8" s="12"/>
      <c r="V8" s="12"/>
      <c r="W8" s="12"/>
      <c r="X8" s="12"/>
      <c r="AB8" t="s">
        <v>173</v>
      </c>
      <c r="AC8">
        <v>1.7794952636419451E-2</v>
      </c>
      <c r="AD8">
        <v>6.2807810697583108E-2</v>
      </c>
      <c r="AE8">
        <v>3.7482189666223381E-2</v>
      </c>
      <c r="AF8">
        <v>4.3198454734292478E-2</v>
      </c>
    </row>
    <row r="9" spans="1:32" x14ac:dyDescent="0.35">
      <c r="A9" t="s">
        <v>134</v>
      </c>
      <c r="B9" s="16">
        <v>1321582</v>
      </c>
      <c r="C9" s="16">
        <v>1287348</v>
      </c>
      <c r="D9" s="16">
        <v>1334544</v>
      </c>
      <c r="E9" s="16">
        <v>1339532</v>
      </c>
      <c r="F9" s="16">
        <v>1395774</v>
      </c>
      <c r="J9" t="s">
        <v>134</v>
      </c>
      <c r="K9" s="14">
        <f t="shared" si="12"/>
        <v>-34234</v>
      </c>
      <c r="L9" s="14">
        <f t="shared" si="13"/>
        <v>47196</v>
      </c>
      <c r="M9" s="14">
        <f t="shared" si="14"/>
        <v>4988</v>
      </c>
      <c r="N9" s="14">
        <f t="shared" si="15"/>
        <v>56242</v>
      </c>
      <c r="O9" s="14">
        <f t="shared" si="16"/>
        <v>61230</v>
      </c>
      <c r="P9" s="14">
        <f t="shared" si="17"/>
        <v>74192</v>
      </c>
      <c r="R9" t="s">
        <v>134</v>
      </c>
      <c r="S9" s="12">
        <f t="shared" si="8"/>
        <v>-2.5903803169232027E-2</v>
      </c>
      <c r="T9" s="12">
        <f t="shared" si="1"/>
        <v>3.6661415561293452E-2</v>
      </c>
      <c r="U9" s="12">
        <f t="shared" si="1"/>
        <v>3.7376062535218022E-3</v>
      </c>
      <c r="V9" s="12">
        <f t="shared" si="1"/>
        <v>4.1986305664963586E-2</v>
      </c>
      <c r="W9" s="12">
        <f t="shared" si="9"/>
        <v>4.5880840197101029E-2</v>
      </c>
      <c r="X9" s="12">
        <f t="shared" si="10"/>
        <v>5.6138779129861031E-2</v>
      </c>
      <c r="AB9" t="s">
        <v>174</v>
      </c>
      <c r="AC9">
        <v>3.6855806839004149E-2</v>
      </c>
      <c r="AD9">
        <v>9.6871035654193208E-2</v>
      </c>
      <c r="AE9">
        <v>4.2611070943080392E-2</v>
      </c>
      <c r="AF9">
        <v>6.7679072059833062E-2</v>
      </c>
    </row>
    <row r="10" spans="1:32" x14ac:dyDescent="0.35">
      <c r="A10" t="s">
        <v>135</v>
      </c>
      <c r="B10" s="16">
        <v>1284231</v>
      </c>
      <c r="C10" s="16">
        <v>1321864</v>
      </c>
      <c r="D10" s="16">
        <v>1419369</v>
      </c>
      <c r="E10" s="16">
        <v>1493350</v>
      </c>
      <c r="F10" s="16">
        <v>1525920</v>
      </c>
      <c r="J10" t="s">
        <v>135</v>
      </c>
      <c r="K10" s="14">
        <f t="shared" si="12"/>
        <v>37633</v>
      </c>
      <c r="L10" s="14">
        <f t="shared" si="13"/>
        <v>97505</v>
      </c>
      <c r="M10" s="14">
        <f t="shared" si="14"/>
        <v>73981</v>
      </c>
      <c r="N10" s="14">
        <f t="shared" si="15"/>
        <v>32570</v>
      </c>
      <c r="O10" s="14">
        <f t="shared" si="16"/>
        <v>106551</v>
      </c>
      <c r="P10" s="14">
        <f t="shared" si="17"/>
        <v>241689</v>
      </c>
      <c r="R10" t="s">
        <v>135</v>
      </c>
      <c r="S10" s="12">
        <f t="shared" si="8"/>
        <v>2.9303918064584954E-2</v>
      </c>
      <c r="T10" s="12">
        <f t="shared" si="1"/>
        <v>7.3763261576077419E-2</v>
      </c>
      <c r="U10" s="12">
        <f t="shared" si="1"/>
        <v>5.2122457232756249E-2</v>
      </c>
      <c r="V10" s="12">
        <f t="shared" si="1"/>
        <v>2.18100244416915E-2</v>
      </c>
      <c r="W10" s="12">
        <f t="shared" si="9"/>
        <v>7.5069273740655182E-2</v>
      </c>
      <c r="X10" s="12">
        <f t="shared" si="10"/>
        <v>0.18819745045867917</v>
      </c>
      <c r="AB10" t="s">
        <v>175</v>
      </c>
      <c r="AC10">
        <v>8.129908169886714E-2</v>
      </c>
      <c r="AD10">
        <v>7.6028128977119663E-2</v>
      </c>
      <c r="AE10">
        <v>0.11754345979321633</v>
      </c>
      <c r="AF10">
        <v>6.2228072777612976E-2</v>
      </c>
    </row>
    <row r="11" spans="1:32" x14ac:dyDescent="0.35">
      <c r="A11" t="s">
        <v>136</v>
      </c>
      <c r="B11" s="16">
        <v>866599</v>
      </c>
      <c r="C11" s="16">
        <v>874866</v>
      </c>
      <c r="D11" s="16">
        <v>923459</v>
      </c>
      <c r="E11" s="16">
        <v>949113</v>
      </c>
      <c r="F11" s="16">
        <v>1004457</v>
      </c>
      <c r="J11" t="s">
        <v>136</v>
      </c>
      <c r="K11" s="14">
        <f t="shared" si="12"/>
        <v>8267</v>
      </c>
      <c r="L11" s="14">
        <f t="shared" si="13"/>
        <v>48593</v>
      </c>
      <c r="M11" s="14">
        <f t="shared" si="14"/>
        <v>25654</v>
      </c>
      <c r="N11" s="14">
        <f t="shared" si="15"/>
        <v>55344</v>
      </c>
      <c r="O11" s="14">
        <f t="shared" si="16"/>
        <v>80998</v>
      </c>
      <c r="P11" s="14">
        <f t="shared" si="17"/>
        <v>137858</v>
      </c>
      <c r="R11" t="s">
        <v>136</v>
      </c>
      <c r="S11" s="12">
        <f t="shared" si="8"/>
        <v>9.5395909757569532E-3</v>
      </c>
      <c r="T11" s="12">
        <f t="shared" si="1"/>
        <v>5.5543363212194781E-2</v>
      </c>
      <c r="U11" s="12">
        <f t="shared" si="1"/>
        <v>2.778033458984102E-2</v>
      </c>
      <c r="V11" s="12">
        <f t="shared" si="1"/>
        <v>5.8311286432700851E-2</v>
      </c>
      <c r="W11" s="12">
        <f t="shared" si="9"/>
        <v>8.7711528070006359E-2</v>
      </c>
      <c r="X11" s="12">
        <f t="shared" si="10"/>
        <v>0.15907934350258884</v>
      </c>
      <c r="AB11" t="s">
        <v>176</v>
      </c>
      <c r="AC11">
        <v>4.8529834991376156E-2</v>
      </c>
      <c r="AD11">
        <v>3.5017699953899036E-2</v>
      </c>
      <c r="AE11">
        <v>4.4198072037630903E-2</v>
      </c>
      <c r="AF11">
        <v>1.6555500606552458E-2</v>
      </c>
    </row>
    <row r="12" spans="1:32" x14ac:dyDescent="0.35">
      <c r="A12" t="s">
        <v>137</v>
      </c>
      <c r="B12" s="16">
        <v>77193</v>
      </c>
      <c r="C12" s="16">
        <v>83941</v>
      </c>
      <c r="D12" s="16">
        <v>95745</v>
      </c>
      <c r="E12" s="16">
        <v>99710</v>
      </c>
      <c r="F12" s="16">
        <v>97668</v>
      </c>
      <c r="J12" t="s">
        <v>137</v>
      </c>
      <c r="K12" s="14">
        <f t="shared" si="12"/>
        <v>6748</v>
      </c>
      <c r="L12" s="14">
        <f t="shared" si="13"/>
        <v>11804</v>
      </c>
      <c r="M12" s="14">
        <f t="shared" si="14"/>
        <v>3965</v>
      </c>
      <c r="N12" s="14">
        <f t="shared" si="15"/>
        <v>-2042</v>
      </c>
      <c r="O12" s="14">
        <f t="shared" si="16"/>
        <v>1923</v>
      </c>
      <c r="P12" s="14">
        <f t="shared" si="17"/>
        <v>20475</v>
      </c>
      <c r="R12" t="s">
        <v>137</v>
      </c>
      <c r="S12" s="12">
        <f t="shared" si="8"/>
        <v>8.7417252859715258E-2</v>
      </c>
      <c r="T12" s="12">
        <f t="shared" si="1"/>
        <v>0.14062258014557844</v>
      </c>
      <c r="U12" s="12">
        <f t="shared" si="1"/>
        <v>4.1412084181941616E-2</v>
      </c>
      <c r="V12" s="12">
        <f t="shared" si="1"/>
        <v>-2.0479390231671848E-2</v>
      </c>
      <c r="W12" s="12">
        <f t="shared" si="9"/>
        <v>2.0084599718000942E-2</v>
      </c>
      <c r="X12" s="12">
        <f t="shared" si="10"/>
        <v>0.26524425789903228</v>
      </c>
    </row>
    <row r="13" spans="1:32" x14ac:dyDescent="0.35">
      <c r="A13" t="s">
        <v>138</v>
      </c>
      <c r="B13" s="16">
        <v>259530</v>
      </c>
      <c r="C13" s="16">
        <v>265475</v>
      </c>
      <c r="D13" s="16">
        <v>286753</v>
      </c>
      <c r="E13" s="16">
        <v>311687</v>
      </c>
      <c r="F13" s="16">
        <v>338329</v>
      </c>
      <c r="J13" t="s">
        <v>138</v>
      </c>
      <c r="K13" s="14">
        <f t="shared" si="12"/>
        <v>5945</v>
      </c>
      <c r="L13" s="14">
        <f t="shared" si="13"/>
        <v>21278</v>
      </c>
      <c r="M13" s="14">
        <f t="shared" si="14"/>
        <v>24934</v>
      </c>
      <c r="N13" s="14">
        <f t="shared" si="15"/>
        <v>26642</v>
      </c>
      <c r="O13" s="14">
        <f t="shared" si="16"/>
        <v>51576</v>
      </c>
      <c r="P13" s="14">
        <f t="shared" si="17"/>
        <v>78799</v>
      </c>
      <c r="R13" t="s">
        <v>138</v>
      </c>
      <c r="S13" s="12">
        <f t="shared" si="8"/>
        <v>2.2906793048973143E-2</v>
      </c>
      <c r="T13" s="12">
        <f t="shared" si="1"/>
        <v>8.0150673321405033E-2</v>
      </c>
      <c r="U13" s="12">
        <f t="shared" si="1"/>
        <v>8.6952882794600228E-2</v>
      </c>
      <c r="V13" s="12">
        <f t="shared" si="1"/>
        <v>8.5476776381433944E-2</v>
      </c>
      <c r="W13" s="12">
        <f t="shared" si="9"/>
        <v>0.17986211129438925</v>
      </c>
      <c r="X13" s="12">
        <f t="shared" si="10"/>
        <v>0.30362193195391668</v>
      </c>
    </row>
    <row r="14" spans="1:32" x14ac:dyDescent="0.35">
      <c r="A14" t="s">
        <v>139</v>
      </c>
      <c r="B14" s="16">
        <v>259603</v>
      </c>
      <c r="C14" s="16">
        <v>307647</v>
      </c>
      <c r="D14" s="16">
        <v>341367</v>
      </c>
      <c r="E14" s="16">
        <v>372813</v>
      </c>
      <c r="F14" s="16">
        <v>401310</v>
      </c>
      <c r="J14" t="s">
        <v>139</v>
      </c>
      <c r="K14" s="14">
        <f t="shared" si="12"/>
        <v>48044</v>
      </c>
      <c r="L14" s="14">
        <f t="shared" si="13"/>
        <v>33720</v>
      </c>
      <c r="M14" s="14">
        <f t="shared" si="14"/>
        <v>31446</v>
      </c>
      <c r="N14" s="14">
        <f t="shared" si="15"/>
        <v>28497</v>
      </c>
      <c r="O14" s="14">
        <f t="shared" si="16"/>
        <v>59943</v>
      </c>
      <c r="P14" s="14">
        <f t="shared" si="17"/>
        <v>141707</v>
      </c>
      <c r="R14" t="s">
        <v>139</v>
      </c>
      <c r="S14" s="12">
        <f t="shared" si="8"/>
        <v>0.18506719876118535</v>
      </c>
      <c r="T14" s="12">
        <f t="shared" si="1"/>
        <v>0.10960613950404197</v>
      </c>
      <c r="U14" s="12">
        <f t="shared" si="1"/>
        <v>9.2117867280668606E-2</v>
      </c>
      <c r="V14" s="12">
        <f t="shared" si="1"/>
        <v>7.6437785163071037E-2</v>
      </c>
      <c r="W14" s="12">
        <f t="shared" si="9"/>
        <v>0.17559693819261968</v>
      </c>
      <c r="X14" s="12">
        <f t="shared" si="10"/>
        <v>0.54586040993362939</v>
      </c>
    </row>
    <row r="15" spans="1:32" x14ac:dyDescent="0.35">
      <c r="A15" t="s">
        <v>158</v>
      </c>
      <c r="B15" s="16">
        <f>SUM(B9:B14)</f>
        <v>4068738</v>
      </c>
      <c r="C15" s="16">
        <f t="shared" ref="C15:F15" si="18">SUM(C9:C14)</f>
        <v>4141141</v>
      </c>
      <c r="D15" s="16">
        <f t="shared" si="18"/>
        <v>4401237</v>
      </c>
      <c r="E15" s="16">
        <f t="shared" si="18"/>
        <v>4566205</v>
      </c>
      <c r="F15" s="16">
        <f t="shared" si="18"/>
        <v>4763458</v>
      </c>
      <c r="G15" s="16">
        <f t="shared" ref="G15" si="19">SUM(G9:G14)</f>
        <v>0</v>
      </c>
      <c r="H15" s="16"/>
      <c r="I15" s="16"/>
      <c r="J15" t="s">
        <v>158</v>
      </c>
      <c r="K15" s="14">
        <f t="shared" ref="K15:K40" si="20">C15-B15</f>
        <v>72403</v>
      </c>
      <c r="L15" s="14">
        <f t="shared" ref="L15:L40" si="21">D15-C15</f>
        <v>260096</v>
      </c>
      <c r="M15" s="14">
        <f t="shared" ref="M15:M40" si="22">E15-D15</f>
        <v>164968</v>
      </c>
      <c r="N15" s="14">
        <f t="shared" ref="N15:N40" si="23">F15-E15</f>
        <v>197253</v>
      </c>
      <c r="O15" s="14">
        <f t="shared" ref="O15:O40" si="24">F15-D15</f>
        <v>362221</v>
      </c>
      <c r="P15" s="14">
        <f t="shared" si="17"/>
        <v>694720</v>
      </c>
      <c r="R15" t="s">
        <v>158</v>
      </c>
      <c r="S15" s="12">
        <f t="shared" si="8"/>
        <v>1.7794952636419451E-2</v>
      </c>
      <c r="T15" s="12">
        <f t="shared" si="1"/>
        <v>6.2807810697583108E-2</v>
      </c>
      <c r="U15" s="12">
        <f t="shared" si="1"/>
        <v>3.7482189666223381E-2</v>
      </c>
      <c r="V15" s="12">
        <f t="shared" si="1"/>
        <v>4.3198454734292478E-2</v>
      </c>
      <c r="W15" s="12">
        <f t="shared" si="9"/>
        <v>8.2299817074154374E-2</v>
      </c>
      <c r="X15" s="12">
        <f t="shared" si="10"/>
        <v>0.17074581848229106</v>
      </c>
    </row>
    <row r="16" spans="1:32" x14ac:dyDescent="0.35">
      <c r="B16" s="16"/>
      <c r="C16" s="16"/>
      <c r="D16" s="16"/>
      <c r="E16" s="16"/>
      <c r="F16" s="16"/>
      <c r="K16" s="14">
        <f t="shared" si="20"/>
        <v>0</v>
      </c>
      <c r="L16" s="14">
        <f t="shared" si="21"/>
        <v>0</v>
      </c>
      <c r="M16" s="14">
        <f t="shared" si="22"/>
        <v>0</v>
      </c>
      <c r="N16" s="14">
        <f t="shared" si="23"/>
        <v>0</v>
      </c>
      <c r="O16" s="14">
        <f t="shared" si="24"/>
        <v>0</v>
      </c>
      <c r="P16" s="14">
        <f t="shared" si="17"/>
        <v>0</v>
      </c>
      <c r="S16" s="12"/>
      <c r="T16" s="12"/>
      <c r="U16" s="12"/>
      <c r="V16" s="12"/>
      <c r="W16" s="12"/>
      <c r="X16" s="12"/>
    </row>
    <row r="17" spans="1:24" x14ac:dyDescent="0.35">
      <c r="A17" t="s">
        <v>140</v>
      </c>
      <c r="B17" s="16">
        <v>845385</v>
      </c>
      <c r="C17" s="16">
        <v>825380</v>
      </c>
      <c r="D17" s="16">
        <v>884118</v>
      </c>
      <c r="E17" s="16">
        <v>905116</v>
      </c>
      <c r="F17" s="16">
        <v>955732</v>
      </c>
      <c r="J17" t="s">
        <v>140</v>
      </c>
      <c r="K17" s="14">
        <f t="shared" si="20"/>
        <v>-20005</v>
      </c>
      <c r="L17" s="14">
        <f t="shared" si="21"/>
        <v>58738</v>
      </c>
      <c r="M17" s="14">
        <f t="shared" si="22"/>
        <v>20998</v>
      </c>
      <c r="N17" s="14">
        <f t="shared" si="23"/>
        <v>50616</v>
      </c>
      <c r="O17" s="14">
        <f t="shared" si="24"/>
        <v>71614</v>
      </c>
      <c r="P17" s="14">
        <f t="shared" si="17"/>
        <v>110347</v>
      </c>
      <c r="R17" t="s">
        <v>140</v>
      </c>
      <c r="S17" s="12">
        <f t="shared" si="8"/>
        <v>-2.3663774493278212E-2</v>
      </c>
      <c r="T17" s="12">
        <f t="shared" si="1"/>
        <v>7.1164796820858273E-2</v>
      </c>
      <c r="U17" s="12">
        <f t="shared" si="1"/>
        <v>2.3750223386471037E-2</v>
      </c>
      <c r="V17" s="12">
        <f t="shared" si="1"/>
        <v>5.5922113850600363E-2</v>
      </c>
      <c r="W17" s="12">
        <f t="shared" si="9"/>
        <v>8.1000499933266829E-2</v>
      </c>
      <c r="X17" s="12">
        <f t="shared" si="10"/>
        <v>0.13052869402698178</v>
      </c>
    </row>
    <row r="18" spans="1:24" x14ac:dyDescent="0.35">
      <c r="A18" t="s">
        <v>141</v>
      </c>
      <c r="B18" s="16">
        <v>851304</v>
      </c>
      <c r="C18" s="16">
        <v>778206</v>
      </c>
      <c r="D18" s="16">
        <v>793633</v>
      </c>
      <c r="E18" s="16">
        <v>783969</v>
      </c>
      <c r="F18" s="16">
        <v>863728</v>
      </c>
      <c r="J18" t="s">
        <v>141</v>
      </c>
      <c r="K18" s="14">
        <f t="shared" si="20"/>
        <v>-73098</v>
      </c>
      <c r="L18" s="14">
        <f t="shared" si="21"/>
        <v>15427</v>
      </c>
      <c r="M18" s="14">
        <f t="shared" si="22"/>
        <v>-9664</v>
      </c>
      <c r="N18" s="14">
        <f t="shared" si="23"/>
        <v>79759</v>
      </c>
      <c r="O18" s="14">
        <f t="shared" si="24"/>
        <v>70095</v>
      </c>
      <c r="P18" s="14">
        <f t="shared" si="17"/>
        <v>12424</v>
      </c>
      <c r="R18" t="s">
        <v>141</v>
      </c>
      <c r="S18" s="12">
        <f t="shared" si="8"/>
        <v>-8.5865918637760427E-2</v>
      </c>
      <c r="T18" s="12">
        <f t="shared" ref="T18:T40" si="25">L18/C18</f>
        <v>1.9823799867901302E-2</v>
      </c>
      <c r="U18" s="12">
        <f t="shared" ref="U18:V40" si="26">M18/D18</f>
        <v>-1.2176913006389603E-2</v>
      </c>
      <c r="V18" s="12">
        <f t="shared" si="26"/>
        <v>0.10173744114882094</v>
      </c>
      <c r="W18" s="12">
        <f t="shared" si="9"/>
        <v>8.8321680172069456E-2</v>
      </c>
      <c r="X18" s="12">
        <f t="shared" si="10"/>
        <v>1.4594081550186537E-2</v>
      </c>
    </row>
    <row r="19" spans="1:24" x14ac:dyDescent="0.35">
      <c r="A19" t="s">
        <v>142</v>
      </c>
      <c r="B19" s="16">
        <v>556972</v>
      </c>
      <c r="C19" s="16">
        <v>553099</v>
      </c>
      <c r="D19" s="16">
        <v>608975</v>
      </c>
      <c r="E19" s="16">
        <v>634266</v>
      </c>
      <c r="F19" s="16">
        <v>724854</v>
      </c>
      <c r="J19" t="s">
        <v>142</v>
      </c>
      <c r="K19" s="14">
        <f t="shared" si="20"/>
        <v>-3873</v>
      </c>
      <c r="L19" s="14">
        <f t="shared" si="21"/>
        <v>55876</v>
      </c>
      <c r="M19" s="14">
        <f t="shared" si="22"/>
        <v>25291</v>
      </c>
      <c r="N19" s="14">
        <f t="shared" si="23"/>
        <v>90588</v>
      </c>
      <c r="O19" s="14">
        <f t="shared" si="24"/>
        <v>115879</v>
      </c>
      <c r="P19" s="14">
        <f t="shared" si="17"/>
        <v>167882</v>
      </c>
      <c r="R19" t="s">
        <v>142</v>
      </c>
      <c r="S19" s="12">
        <f t="shared" si="8"/>
        <v>-6.9536709206207857E-3</v>
      </c>
      <c r="T19" s="12">
        <f t="shared" si="25"/>
        <v>0.10102350573767083</v>
      </c>
      <c r="U19" s="12">
        <f t="shared" si="26"/>
        <v>4.1530440494273166E-2</v>
      </c>
      <c r="V19" s="12">
        <f t="shared" si="26"/>
        <v>0.14282335802328991</v>
      </c>
      <c r="W19" s="12">
        <f t="shared" si="9"/>
        <v>0.1902853154891416</v>
      </c>
      <c r="X19" s="12">
        <f t="shared" si="10"/>
        <v>0.3014191018579031</v>
      </c>
    </row>
    <row r="20" spans="1:24" x14ac:dyDescent="0.35">
      <c r="A20" t="s">
        <v>152</v>
      </c>
      <c r="B20" s="16">
        <v>87361</v>
      </c>
      <c r="C20" s="16">
        <v>107776</v>
      </c>
      <c r="D20" s="16">
        <v>121989</v>
      </c>
      <c r="E20" s="16">
        <v>128349</v>
      </c>
      <c r="F20" s="16">
        <v>128947</v>
      </c>
      <c r="J20" t="s">
        <v>152</v>
      </c>
      <c r="K20" s="14">
        <f t="shared" si="20"/>
        <v>20415</v>
      </c>
      <c r="L20" s="14">
        <f t="shared" si="21"/>
        <v>14213</v>
      </c>
      <c r="M20" s="14">
        <f t="shared" si="22"/>
        <v>6360</v>
      </c>
      <c r="N20" s="14">
        <f t="shared" si="23"/>
        <v>598</v>
      </c>
      <c r="O20" s="14">
        <f t="shared" si="24"/>
        <v>6958</v>
      </c>
      <c r="P20" s="14">
        <f t="shared" si="17"/>
        <v>41586</v>
      </c>
      <c r="R20" t="s">
        <v>152</v>
      </c>
      <c r="S20" s="12">
        <f t="shared" si="8"/>
        <v>0.23368551184166847</v>
      </c>
      <c r="T20" s="12">
        <f t="shared" si="25"/>
        <v>0.13187537114014253</v>
      </c>
      <c r="U20" s="12">
        <f t="shared" si="26"/>
        <v>5.2135848314192261E-2</v>
      </c>
      <c r="V20" s="12">
        <f t="shared" si="26"/>
        <v>4.6591714777676494E-3</v>
      </c>
      <c r="W20" s="12">
        <f t="shared" si="9"/>
        <v>5.7037929649394616E-2</v>
      </c>
      <c r="X20" s="12">
        <f t="shared" si="10"/>
        <v>0.47602477077872279</v>
      </c>
    </row>
    <row r="21" spans="1:24" x14ac:dyDescent="0.35">
      <c r="A21" t="s">
        <v>143</v>
      </c>
      <c r="B21" s="16">
        <v>595893</v>
      </c>
      <c r="C21" s="16">
        <v>671780</v>
      </c>
      <c r="D21" s="16">
        <v>750162</v>
      </c>
      <c r="E21" s="16">
        <v>809858</v>
      </c>
      <c r="F21" s="16">
        <v>863162</v>
      </c>
      <c r="J21" t="s">
        <v>143</v>
      </c>
      <c r="K21" s="14">
        <f t="shared" si="20"/>
        <v>75887</v>
      </c>
      <c r="L21" s="14">
        <f t="shared" si="21"/>
        <v>78382</v>
      </c>
      <c r="M21" s="14">
        <f t="shared" si="22"/>
        <v>59696</v>
      </c>
      <c r="N21" s="14">
        <f t="shared" si="23"/>
        <v>53304</v>
      </c>
      <c r="O21" s="14">
        <f t="shared" si="24"/>
        <v>113000</v>
      </c>
      <c r="P21" s="14">
        <f t="shared" si="17"/>
        <v>267269</v>
      </c>
      <c r="R21" t="s">
        <v>143</v>
      </c>
      <c r="S21" s="12">
        <f t="shared" si="8"/>
        <v>0.12735004438716346</v>
      </c>
      <c r="T21" s="12">
        <f t="shared" si="25"/>
        <v>0.11667807913304951</v>
      </c>
      <c r="U21" s="12">
        <f t="shared" si="26"/>
        <v>7.957747793143348E-2</v>
      </c>
      <c r="V21" s="12">
        <f t="shared" si="26"/>
        <v>6.5818946037453474E-2</v>
      </c>
      <c r="W21" s="12">
        <f t="shared" si="9"/>
        <v>0.15063412969465262</v>
      </c>
      <c r="X21" s="12">
        <f t="shared" si="10"/>
        <v>0.4485184420692977</v>
      </c>
    </row>
    <row r="22" spans="1:24" x14ac:dyDescent="0.35">
      <c r="A22" t="s">
        <v>144</v>
      </c>
      <c r="B22" s="16">
        <v>503173</v>
      </c>
      <c r="C22" s="16">
        <v>553124</v>
      </c>
      <c r="D22" s="16">
        <v>615301</v>
      </c>
      <c r="E22" s="16">
        <v>630380</v>
      </c>
      <c r="F22" s="16">
        <v>643615</v>
      </c>
      <c r="J22" t="s">
        <v>144</v>
      </c>
      <c r="K22" s="14">
        <f t="shared" si="20"/>
        <v>49951</v>
      </c>
      <c r="L22" s="14">
        <f t="shared" si="21"/>
        <v>62177</v>
      </c>
      <c r="M22" s="14">
        <f t="shared" si="22"/>
        <v>15079</v>
      </c>
      <c r="N22" s="14">
        <f t="shared" si="23"/>
        <v>13235</v>
      </c>
      <c r="O22" s="14">
        <f t="shared" si="24"/>
        <v>28314</v>
      </c>
      <c r="P22" s="14">
        <f t="shared" si="17"/>
        <v>140442</v>
      </c>
      <c r="R22" t="s">
        <v>144</v>
      </c>
      <c r="S22" s="12">
        <f t="shared" si="8"/>
        <v>9.9272019762586622E-2</v>
      </c>
      <c r="T22" s="12">
        <f t="shared" si="25"/>
        <v>0.11241059870842704</v>
      </c>
      <c r="U22" s="12">
        <f t="shared" si="26"/>
        <v>2.4506704848521292E-2</v>
      </c>
      <c r="V22" s="12">
        <f t="shared" si="26"/>
        <v>2.0995272692661569E-2</v>
      </c>
      <c r="W22" s="12">
        <f t="shared" si="9"/>
        <v>4.6016502492276137E-2</v>
      </c>
      <c r="X22" s="12">
        <f t="shared" si="10"/>
        <v>0.2791127504854195</v>
      </c>
    </row>
    <row r="23" spans="1:24" x14ac:dyDescent="0.35">
      <c r="A23" t="s">
        <v>145</v>
      </c>
      <c r="B23" s="16">
        <v>407630</v>
      </c>
      <c r="C23" s="16">
        <v>421353</v>
      </c>
      <c r="D23" s="16">
        <v>470212</v>
      </c>
      <c r="E23" s="16">
        <v>492276</v>
      </c>
      <c r="F23" s="16">
        <v>509285</v>
      </c>
      <c r="J23" t="s">
        <v>145</v>
      </c>
      <c r="K23" s="14">
        <f t="shared" si="20"/>
        <v>13723</v>
      </c>
      <c r="L23" s="14">
        <f t="shared" si="21"/>
        <v>48859</v>
      </c>
      <c r="M23" s="14">
        <f t="shared" si="22"/>
        <v>22064</v>
      </c>
      <c r="N23" s="14">
        <f t="shared" si="23"/>
        <v>17009</v>
      </c>
      <c r="O23" s="14">
        <f t="shared" si="24"/>
        <v>39073</v>
      </c>
      <c r="P23" s="14">
        <f t="shared" si="17"/>
        <v>101655</v>
      </c>
      <c r="R23" t="s">
        <v>145</v>
      </c>
      <c r="S23" s="12">
        <f t="shared" si="8"/>
        <v>3.366533375855555E-2</v>
      </c>
      <c r="T23" s="12">
        <f t="shared" si="25"/>
        <v>0.11595740388700211</v>
      </c>
      <c r="U23" s="12">
        <f t="shared" si="26"/>
        <v>4.6923515350522742E-2</v>
      </c>
      <c r="V23" s="12">
        <f t="shared" si="26"/>
        <v>3.4551755519261554E-2</v>
      </c>
      <c r="W23" s="12">
        <f t="shared" si="9"/>
        <v>8.3096560700279876E-2</v>
      </c>
      <c r="X23" s="12">
        <f t="shared" si="10"/>
        <v>0.24938056570909894</v>
      </c>
    </row>
    <row r="24" spans="1:24" x14ac:dyDescent="0.35">
      <c r="A24" t="s">
        <v>146</v>
      </c>
      <c r="B24" s="16">
        <v>346038</v>
      </c>
      <c r="C24" s="16">
        <v>433203</v>
      </c>
      <c r="D24" s="16">
        <v>510916</v>
      </c>
      <c r="E24" s="16">
        <v>576567</v>
      </c>
      <c r="F24" s="16">
        <v>637229</v>
      </c>
      <c r="J24" t="s">
        <v>146</v>
      </c>
      <c r="K24" s="14">
        <f t="shared" si="20"/>
        <v>87165</v>
      </c>
      <c r="L24" s="14">
        <f t="shared" si="21"/>
        <v>77713</v>
      </c>
      <c r="M24" s="14">
        <f t="shared" si="22"/>
        <v>65651</v>
      </c>
      <c r="N24" s="14">
        <f t="shared" si="23"/>
        <v>60662</v>
      </c>
      <c r="O24" s="14">
        <f t="shared" si="24"/>
        <v>126313</v>
      </c>
      <c r="P24" s="14">
        <f t="shared" si="17"/>
        <v>291191</v>
      </c>
      <c r="R24" t="s">
        <v>146</v>
      </c>
      <c r="S24" s="12">
        <f t="shared" si="8"/>
        <v>0.25189430062594281</v>
      </c>
      <c r="T24" s="12">
        <f t="shared" si="25"/>
        <v>0.17939164779560621</v>
      </c>
      <c r="U24" s="12">
        <f t="shared" si="26"/>
        <v>0.12849666089924763</v>
      </c>
      <c r="V24" s="12">
        <f t="shared" si="26"/>
        <v>0.10521240376226874</v>
      </c>
      <c r="W24" s="12">
        <f t="shared" si="9"/>
        <v>0.24722850723015133</v>
      </c>
      <c r="X24" s="12">
        <f t="shared" si="10"/>
        <v>0.84150006646668862</v>
      </c>
    </row>
    <row r="25" spans="1:24" x14ac:dyDescent="0.35">
      <c r="A25" t="s">
        <v>147</v>
      </c>
      <c r="B25" s="16">
        <v>447585</v>
      </c>
      <c r="C25" s="16">
        <v>453060</v>
      </c>
      <c r="D25" s="16">
        <v>489049</v>
      </c>
      <c r="E25" s="16">
        <v>501226</v>
      </c>
      <c r="F25" s="16">
        <v>524118</v>
      </c>
      <c r="J25" t="s">
        <v>147</v>
      </c>
      <c r="K25" s="14">
        <f t="shared" si="20"/>
        <v>5475</v>
      </c>
      <c r="L25" s="14">
        <f t="shared" si="21"/>
        <v>35989</v>
      </c>
      <c r="M25" s="14">
        <f t="shared" si="22"/>
        <v>12177</v>
      </c>
      <c r="N25" s="14">
        <f t="shared" si="23"/>
        <v>22892</v>
      </c>
      <c r="O25" s="14">
        <f t="shared" si="24"/>
        <v>35069</v>
      </c>
      <c r="P25" s="14">
        <f t="shared" si="17"/>
        <v>76533</v>
      </c>
      <c r="R25" t="s">
        <v>147</v>
      </c>
      <c r="S25" s="12">
        <f t="shared" si="8"/>
        <v>1.2232313415328933E-2</v>
      </c>
      <c r="T25" s="12">
        <f t="shared" si="25"/>
        <v>7.943539487043659E-2</v>
      </c>
      <c r="U25" s="12">
        <f t="shared" si="26"/>
        <v>2.4899345464360421E-2</v>
      </c>
      <c r="V25" s="12">
        <f t="shared" si="26"/>
        <v>4.5672012226021796E-2</v>
      </c>
      <c r="W25" s="12">
        <f t="shared" si="9"/>
        <v>7.1708560900850427E-2</v>
      </c>
      <c r="X25" s="12">
        <f t="shared" si="10"/>
        <v>0.17099098495257883</v>
      </c>
    </row>
    <row r="26" spans="1:24" x14ac:dyDescent="0.35">
      <c r="A26" t="s">
        <v>148</v>
      </c>
      <c r="B26" s="16">
        <v>203129</v>
      </c>
      <c r="C26" s="16">
        <v>240279</v>
      </c>
      <c r="D26" s="16">
        <v>297490</v>
      </c>
      <c r="E26" s="16">
        <v>323444</v>
      </c>
      <c r="F26" s="16">
        <v>345361</v>
      </c>
      <c r="J26" t="s">
        <v>148</v>
      </c>
      <c r="K26" s="14">
        <f t="shared" si="20"/>
        <v>37150</v>
      </c>
      <c r="L26" s="14">
        <f t="shared" si="21"/>
        <v>57211</v>
      </c>
      <c r="M26" s="14">
        <f t="shared" si="22"/>
        <v>25954</v>
      </c>
      <c r="N26" s="14">
        <f t="shared" si="23"/>
        <v>21917</v>
      </c>
      <c r="O26" s="14">
        <f t="shared" si="24"/>
        <v>47871</v>
      </c>
      <c r="P26" s="14">
        <f t="shared" si="17"/>
        <v>142232</v>
      </c>
      <c r="R26" t="s">
        <v>148</v>
      </c>
      <c r="S26" s="12">
        <f t="shared" si="8"/>
        <v>0.18288870619163192</v>
      </c>
      <c r="T26" s="12">
        <f t="shared" si="25"/>
        <v>0.23810237265845122</v>
      </c>
      <c r="U26" s="12">
        <f t="shared" si="26"/>
        <v>8.724326868130021E-2</v>
      </c>
      <c r="V26" s="12">
        <f t="shared" si="26"/>
        <v>6.7761343540149149E-2</v>
      </c>
      <c r="W26" s="12">
        <f t="shared" si="9"/>
        <v>0.16091633332212849</v>
      </c>
      <c r="X26" s="12">
        <f t="shared" si="10"/>
        <v>0.70020528826509265</v>
      </c>
    </row>
    <row r="27" spans="1:24" x14ac:dyDescent="0.35">
      <c r="A27" t="s">
        <v>149</v>
      </c>
      <c r="B27" s="16">
        <v>116119</v>
      </c>
      <c r="C27" s="16">
        <v>130943</v>
      </c>
      <c r="D27" s="16">
        <v>144166</v>
      </c>
      <c r="E27" s="16">
        <v>149265</v>
      </c>
      <c r="F27" s="16">
        <v>144221</v>
      </c>
      <c r="J27" t="s">
        <v>149</v>
      </c>
      <c r="K27" s="14">
        <f t="shared" si="20"/>
        <v>14824</v>
      </c>
      <c r="L27" s="14">
        <f t="shared" si="21"/>
        <v>13223</v>
      </c>
      <c r="M27" s="14">
        <f t="shared" si="22"/>
        <v>5099</v>
      </c>
      <c r="N27" s="14">
        <f t="shared" si="23"/>
        <v>-5044</v>
      </c>
      <c r="O27" s="14">
        <f t="shared" si="24"/>
        <v>55</v>
      </c>
      <c r="P27" s="14">
        <f t="shared" si="17"/>
        <v>28102</v>
      </c>
      <c r="R27" t="s">
        <v>149</v>
      </c>
      <c r="S27" s="12">
        <f t="shared" si="8"/>
        <v>0.12766213970151311</v>
      </c>
      <c r="T27" s="12">
        <f t="shared" si="25"/>
        <v>0.10098287040926204</v>
      </c>
      <c r="U27" s="12">
        <f t="shared" si="26"/>
        <v>3.5368949683004317E-2</v>
      </c>
      <c r="V27" s="12">
        <f t="shared" si="26"/>
        <v>-3.3792248685224263E-2</v>
      </c>
      <c r="W27" s="12">
        <f t="shared" si="9"/>
        <v>3.8150465435678313E-4</v>
      </c>
      <c r="X27" s="12">
        <f t="shared" si="10"/>
        <v>0.24201035144980582</v>
      </c>
    </row>
    <row r="28" spans="1:24" x14ac:dyDescent="0.35">
      <c r="A28" t="s">
        <v>150</v>
      </c>
      <c r="B28" s="16">
        <v>504094</v>
      </c>
      <c r="C28" s="16">
        <v>493819</v>
      </c>
      <c r="D28" s="16">
        <v>522541</v>
      </c>
      <c r="E28" s="16">
        <v>536499</v>
      </c>
      <c r="F28" s="16">
        <v>575345</v>
      </c>
      <c r="J28" t="s">
        <v>150</v>
      </c>
      <c r="K28" s="14">
        <f t="shared" si="20"/>
        <v>-10275</v>
      </c>
      <c r="L28" s="14">
        <f t="shared" si="21"/>
        <v>28722</v>
      </c>
      <c r="M28" s="14">
        <f t="shared" si="22"/>
        <v>13958</v>
      </c>
      <c r="N28" s="14">
        <f t="shared" si="23"/>
        <v>38846</v>
      </c>
      <c r="O28" s="14">
        <f t="shared" si="24"/>
        <v>52804</v>
      </c>
      <c r="P28" s="14">
        <f t="shared" si="17"/>
        <v>71251</v>
      </c>
      <c r="R28" t="s">
        <v>150</v>
      </c>
      <c r="S28" s="12">
        <f t="shared" si="8"/>
        <v>-2.0383103151396367E-2</v>
      </c>
      <c r="T28" s="12">
        <f t="shared" si="25"/>
        <v>5.8163011143759151E-2</v>
      </c>
      <c r="U28" s="12">
        <f t="shared" si="26"/>
        <v>2.6711779554140249E-2</v>
      </c>
      <c r="V28" s="12">
        <f t="shared" si="26"/>
        <v>7.2406472332660454E-2</v>
      </c>
      <c r="W28" s="12">
        <f t="shared" si="9"/>
        <v>0.10105235761404369</v>
      </c>
      <c r="X28" s="12">
        <f t="shared" si="10"/>
        <v>0.14134466984332286</v>
      </c>
    </row>
    <row r="29" spans="1:24" x14ac:dyDescent="0.35">
      <c r="A29" t="s">
        <v>151</v>
      </c>
      <c r="B29" s="16">
        <v>84429</v>
      </c>
      <c r="C29" s="16">
        <v>91607</v>
      </c>
      <c r="D29" s="16">
        <v>102437</v>
      </c>
      <c r="E29" s="16">
        <v>108692</v>
      </c>
      <c r="F29" s="16">
        <v>109632</v>
      </c>
      <c r="J29" t="s">
        <v>151</v>
      </c>
      <c r="K29" s="14">
        <f t="shared" si="20"/>
        <v>7178</v>
      </c>
      <c r="L29" s="14">
        <f t="shared" si="21"/>
        <v>10830</v>
      </c>
      <c r="M29" s="14">
        <f t="shared" si="22"/>
        <v>6255</v>
      </c>
      <c r="N29" s="14">
        <f t="shared" si="23"/>
        <v>940</v>
      </c>
      <c r="O29" s="14">
        <f t="shared" si="24"/>
        <v>7195</v>
      </c>
      <c r="P29" s="14">
        <f t="shared" si="17"/>
        <v>25203</v>
      </c>
      <c r="R29" t="s">
        <v>151</v>
      </c>
      <c r="S29" s="12">
        <f t="shared" si="8"/>
        <v>8.5018180956780251E-2</v>
      </c>
      <c r="T29" s="12">
        <f t="shared" si="25"/>
        <v>0.11822240658464965</v>
      </c>
      <c r="U29" s="12">
        <f t="shared" si="26"/>
        <v>6.1061920985581379E-2</v>
      </c>
      <c r="V29" s="12">
        <f t="shared" si="26"/>
        <v>8.648290582563575E-3</v>
      </c>
      <c r="W29" s="12">
        <f t="shared" si="9"/>
        <v>7.0238292804357796E-2</v>
      </c>
      <c r="X29" s="12">
        <f t="shared" si="10"/>
        <v>0.29851117507017733</v>
      </c>
    </row>
    <row r="30" spans="1:24" x14ac:dyDescent="0.35">
      <c r="A30" t="s">
        <v>159</v>
      </c>
      <c r="B30" s="16">
        <f>SUM(B17:B29)</f>
        <v>5549112</v>
      </c>
      <c r="C30" s="16">
        <f t="shared" ref="C30:Q30" si="27">SUM(C17:C29)</f>
        <v>5753629</v>
      </c>
      <c r="D30" s="16">
        <f t="shared" si="27"/>
        <v>6310989</v>
      </c>
      <c r="E30" s="16">
        <f t="shared" ref="E30" si="28">SUM(E17:E29)</f>
        <v>6579907</v>
      </c>
      <c r="F30" s="16">
        <f t="shared" ref="F30" si="29">SUM(F17:F29)</f>
        <v>7025229</v>
      </c>
      <c r="G30" s="16">
        <f t="shared" ref="G30" si="30">SUM(G17:G29)</f>
        <v>0</v>
      </c>
      <c r="H30" s="16">
        <f t="shared" ref="H30" si="31">SUM(H17:H29)</f>
        <v>0</v>
      </c>
      <c r="I30" s="16">
        <f t="shared" ref="I30" si="32">SUM(I17:I29)</f>
        <v>0</v>
      </c>
      <c r="J30" t="s">
        <v>159</v>
      </c>
      <c r="K30" s="16">
        <f t="shared" ref="K30" si="33">SUM(K17:K29)</f>
        <v>204517</v>
      </c>
      <c r="L30" s="16">
        <f t="shared" ref="L30" si="34">SUM(L17:L29)</f>
        <v>557360</v>
      </c>
      <c r="M30" s="16">
        <f t="shared" ref="M30" si="35">SUM(M17:M29)</f>
        <v>268918</v>
      </c>
      <c r="N30" s="16">
        <f t="shared" ref="N30" si="36">SUM(N17:N29)</f>
        <v>445322</v>
      </c>
      <c r="O30" s="16">
        <f t="shared" ref="O30" si="37">SUM(O17:O29)</f>
        <v>714240</v>
      </c>
      <c r="P30" s="16">
        <f t="shared" ref="P30" si="38">SUM(P17:P29)</f>
        <v>1476117</v>
      </c>
      <c r="Q30" s="16">
        <f t="shared" si="27"/>
        <v>0</v>
      </c>
      <c r="R30" t="s">
        <v>159</v>
      </c>
      <c r="S30" s="12">
        <f t="shared" si="8"/>
        <v>3.6855806839004149E-2</v>
      </c>
      <c r="T30" s="12">
        <f t="shared" si="25"/>
        <v>9.6871035654193208E-2</v>
      </c>
      <c r="U30" s="12">
        <f t="shared" si="26"/>
        <v>4.2611070943080392E-2</v>
      </c>
      <c r="V30" s="12">
        <f t="shared" si="26"/>
        <v>6.7679072059833062E-2</v>
      </c>
      <c r="W30" s="12">
        <f t="shared" si="9"/>
        <v>0.11317402074381686</v>
      </c>
      <c r="X30" s="12">
        <f t="shared" si="10"/>
        <v>0.26600958856119683</v>
      </c>
    </row>
    <row r="31" spans="1:24" x14ac:dyDescent="0.35">
      <c r="A31" t="s">
        <v>160</v>
      </c>
      <c r="B31" s="16">
        <f>B30-B19</f>
        <v>4992140</v>
      </c>
      <c r="C31" s="16">
        <f t="shared" ref="C31:D31" si="39">C30-C19</f>
        <v>5200530</v>
      </c>
      <c r="D31" s="16">
        <f t="shared" si="39"/>
        <v>5702014</v>
      </c>
      <c r="E31" s="16">
        <f t="shared" ref="E31" si="40">E30-E19</f>
        <v>5945641</v>
      </c>
      <c r="F31" s="16">
        <f t="shared" ref="F31" si="41">F30-F19</f>
        <v>6300375</v>
      </c>
      <c r="G31" s="16">
        <f t="shared" ref="G31" si="42">G30-G19</f>
        <v>0</v>
      </c>
      <c r="H31" s="16">
        <f t="shared" ref="H31" si="43">H30-H19</f>
        <v>0</v>
      </c>
      <c r="I31" s="16">
        <f t="shared" ref="I31" si="44">I30-I19</f>
        <v>0</v>
      </c>
      <c r="J31" t="s">
        <v>160</v>
      </c>
      <c r="K31" s="16">
        <f t="shared" ref="K31" si="45">K30-K19</f>
        <v>208390</v>
      </c>
      <c r="L31" s="16">
        <f t="shared" ref="L31" si="46">L30-L19</f>
        <v>501484</v>
      </c>
      <c r="M31" s="16">
        <f t="shared" ref="M31" si="47">M30-M19</f>
        <v>243627</v>
      </c>
      <c r="N31" s="16">
        <f t="shared" ref="N31" si="48">N30-N19</f>
        <v>354734</v>
      </c>
      <c r="O31" s="16">
        <f t="shared" ref="O31" si="49">O30-O19</f>
        <v>598361</v>
      </c>
      <c r="P31" s="16">
        <f t="shared" ref="P31" si="50">P30-P19</f>
        <v>1308235</v>
      </c>
      <c r="Q31" s="16">
        <f t="shared" ref="Q31" si="51">Q30-Q19</f>
        <v>0</v>
      </c>
      <c r="R31" t="s">
        <v>160</v>
      </c>
      <c r="S31" s="12">
        <f t="shared" si="8"/>
        <v>4.1743620972168251E-2</v>
      </c>
      <c r="T31" s="12">
        <f t="shared" si="25"/>
        <v>9.6429402387833554E-2</v>
      </c>
      <c r="U31" s="12">
        <f t="shared" si="26"/>
        <v>4.2726482256970955E-2</v>
      </c>
      <c r="V31" s="12">
        <f t="shared" si="26"/>
        <v>5.9662868982503316E-2</v>
      </c>
      <c r="W31" s="12">
        <f t="shared" si="9"/>
        <v>0.10493853575245518</v>
      </c>
      <c r="X31" s="12">
        <f t="shared" si="10"/>
        <v>0.26205895667990081</v>
      </c>
    </row>
    <row r="32" spans="1:24" x14ac:dyDescent="0.35">
      <c r="B32" s="16"/>
      <c r="C32" s="16"/>
      <c r="D32" s="16"/>
      <c r="E32" s="16"/>
      <c r="F32" s="16"/>
      <c r="K32" s="14">
        <f t="shared" si="20"/>
        <v>0</v>
      </c>
      <c r="L32" s="14">
        <f t="shared" si="21"/>
        <v>0</v>
      </c>
      <c r="M32" s="14">
        <f t="shared" si="22"/>
        <v>0</v>
      </c>
      <c r="N32" s="14">
        <f t="shared" si="23"/>
        <v>0</v>
      </c>
      <c r="O32" s="14">
        <f t="shared" si="24"/>
        <v>0</v>
      </c>
      <c r="P32" s="14">
        <f t="shared" si="17"/>
        <v>0</v>
      </c>
      <c r="S32" s="12"/>
      <c r="T32" s="12"/>
      <c r="U32" s="12"/>
      <c r="V32" s="12"/>
      <c r="W32" s="12"/>
      <c r="X32" s="12"/>
    </row>
    <row r="33" spans="1:32" x14ac:dyDescent="0.35">
      <c r="A33" t="s">
        <v>157</v>
      </c>
      <c r="B33" s="16">
        <v>272349</v>
      </c>
      <c r="C33" s="16">
        <v>291130</v>
      </c>
      <c r="D33" s="16">
        <v>312090</v>
      </c>
      <c r="E33" s="16">
        <v>349497</v>
      </c>
      <c r="F33" s="16">
        <v>374557</v>
      </c>
      <c r="J33" t="s">
        <v>157</v>
      </c>
      <c r="K33" s="14">
        <f t="shared" si="20"/>
        <v>18781</v>
      </c>
      <c r="L33" s="14">
        <f t="shared" si="21"/>
        <v>20960</v>
      </c>
      <c r="M33" s="14">
        <f t="shared" si="22"/>
        <v>37407</v>
      </c>
      <c r="N33" s="14">
        <f t="shared" si="23"/>
        <v>25060</v>
      </c>
      <c r="O33" s="14">
        <f t="shared" si="24"/>
        <v>62467</v>
      </c>
      <c r="P33" s="14">
        <f t="shared" si="17"/>
        <v>102208</v>
      </c>
      <c r="R33" t="s">
        <v>157</v>
      </c>
      <c r="S33" s="12">
        <f t="shared" si="8"/>
        <v>6.8959313234122396E-2</v>
      </c>
      <c r="T33" s="12">
        <f t="shared" si="25"/>
        <v>7.199532854738433E-2</v>
      </c>
      <c r="U33" s="12">
        <f t="shared" si="26"/>
        <v>0.11985965586849948</v>
      </c>
      <c r="V33" s="12">
        <f t="shared" si="26"/>
        <v>7.1703047522582455E-2</v>
      </c>
      <c r="W33" s="12">
        <f t="shared" si="9"/>
        <v>0.20015700599186131</v>
      </c>
      <c r="X33" s="12">
        <f t="shared" si="10"/>
        <v>0.37528318444348979</v>
      </c>
    </row>
    <row r="34" spans="1:32" x14ac:dyDescent="0.35">
      <c r="A34" t="s">
        <v>153</v>
      </c>
      <c r="B34" s="16">
        <v>225418</v>
      </c>
      <c r="C34" s="16">
        <v>247105</v>
      </c>
      <c r="D34" s="16">
        <v>267066</v>
      </c>
      <c r="E34" s="16">
        <v>297735</v>
      </c>
      <c r="F34" s="16">
        <v>312951</v>
      </c>
      <c r="J34" t="s">
        <v>153</v>
      </c>
      <c r="K34" s="14">
        <f t="shared" si="20"/>
        <v>21687</v>
      </c>
      <c r="L34" s="14">
        <f t="shared" si="21"/>
        <v>19961</v>
      </c>
      <c r="M34" s="14">
        <f t="shared" si="22"/>
        <v>30669</v>
      </c>
      <c r="N34" s="14">
        <f t="shared" si="23"/>
        <v>15216</v>
      </c>
      <c r="O34" s="14">
        <f t="shared" si="24"/>
        <v>45885</v>
      </c>
      <c r="P34" s="14">
        <f t="shared" si="17"/>
        <v>87533</v>
      </c>
      <c r="R34" t="s">
        <v>153</v>
      </c>
      <c r="S34" s="12">
        <f t="shared" si="8"/>
        <v>9.6207933705382886E-2</v>
      </c>
      <c r="T34" s="12">
        <f t="shared" si="25"/>
        <v>8.0779425750187164E-2</v>
      </c>
      <c r="U34" s="12">
        <f t="shared" si="26"/>
        <v>0.11483678191907619</v>
      </c>
      <c r="V34" s="12">
        <f t="shared" si="26"/>
        <v>5.1105849161166811E-2</v>
      </c>
      <c r="W34" s="12">
        <f t="shared" si="9"/>
        <v>0.1718114623351531</v>
      </c>
      <c r="X34" s="12">
        <f t="shared" si="10"/>
        <v>0.38831415414918063</v>
      </c>
      <c r="AA34" t="s">
        <v>177</v>
      </c>
      <c r="AB34" t="s">
        <v>164</v>
      </c>
      <c r="AC34" t="s">
        <v>165</v>
      </c>
      <c r="AD34" t="s">
        <v>166</v>
      </c>
      <c r="AE34" t="s">
        <v>167</v>
      </c>
    </row>
    <row r="35" spans="1:32" x14ac:dyDescent="0.35">
      <c r="A35" t="s">
        <v>161</v>
      </c>
      <c r="B35" s="16">
        <f>B34+B33</f>
        <v>497767</v>
      </c>
      <c r="C35" s="16">
        <f t="shared" ref="C35:G35" si="52">C34+C33</f>
        <v>538235</v>
      </c>
      <c r="D35" s="16">
        <f t="shared" si="52"/>
        <v>579156</v>
      </c>
      <c r="E35" s="16">
        <f t="shared" si="52"/>
        <v>647232</v>
      </c>
      <c r="F35" s="16">
        <f t="shared" si="52"/>
        <v>687508</v>
      </c>
      <c r="G35" s="16">
        <f t="shared" si="52"/>
        <v>0</v>
      </c>
      <c r="J35" t="s">
        <v>161</v>
      </c>
      <c r="K35" s="14">
        <f t="shared" si="20"/>
        <v>40468</v>
      </c>
      <c r="L35" s="14">
        <f t="shared" si="21"/>
        <v>40921</v>
      </c>
      <c r="M35" s="14">
        <f t="shared" si="22"/>
        <v>68076</v>
      </c>
      <c r="N35" s="14">
        <f t="shared" si="23"/>
        <v>40276</v>
      </c>
      <c r="O35" s="14">
        <f t="shared" si="24"/>
        <v>108352</v>
      </c>
      <c r="P35" s="14">
        <f t="shared" si="17"/>
        <v>189741</v>
      </c>
      <c r="R35" t="s">
        <v>161</v>
      </c>
      <c r="S35" s="12">
        <f t="shared" si="8"/>
        <v>8.129908169886714E-2</v>
      </c>
      <c r="T35" s="12">
        <f t="shared" si="25"/>
        <v>7.6028128977119663E-2</v>
      </c>
      <c r="U35" s="12">
        <f t="shared" si="26"/>
        <v>0.11754345979321633</v>
      </c>
      <c r="V35" s="12">
        <f t="shared" si="26"/>
        <v>6.2228072777612976E-2</v>
      </c>
      <c r="W35" s="12">
        <f t="shared" si="9"/>
        <v>0.18708603554137401</v>
      </c>
      <c r="X35" s="12">
        <f t="shared" si="10"/>
        <v>0.38118436939371231</v>
      </c>
      <c r="AA35" t="s">
        <v>172</v>
      </c>
      <c r="AB35" s="11">
        <v>3.5496759054277655E-2</v>
      </c>
      <c r="AC35" s="11">
        <v>9.3643974979255903E-2</v>
      </c>
      <c r="AD35" s="11">
        <v>2.0835315657123789E-2</v>
      </c>
      <c r="AE35" s="11">
        <v>7.6947616632047453E-2</v>
      </c>
      <c r="AF35" s="11"/>
    </row>
    <row r="36" spans="1:32" x14ac:dyDescent="0.35">
      <c r="B36" s="16"/>
      <c r="C36" s="16"/>
      <c r="D36" s="16"/>
      <c r="E36" s="16"/>
      <c r="F36" s="16"/>
      <c r="K36" s="14">
        <f t="shared" si="20"/>
        <v>0</v>
      </c>
      <c r="L36" s="14">
        <f t="shared" si="21"/>
        <v>0</v>
      </c>
      <c r="M36" s="14">
        <f t="shared" si="22"/>
        <v>0</v>
      </c>
      <c r="N36" s="14">
        <f t="shared" si="23"/>
        <v>0</v>
      </c>
      <c r="O36" s="14">
        <f t="shared" si="24"/>
        <v>0</v>
      </c>
      <c r="P36" s="14">
        <f t="shared" si="17"/>
        <v>0</v>
      </c>
      <c r="S36" s="12"/>
      <c r="T36" s="12"/>
      <c r="U36" s="12"/>
      <c r="V36" s="12"/>
      <c r="W36" s="12"/>
      <c r="X36" s="12"/>
      <c r="AA36" t="s">
        <v>179</v>
      </c>
      <c r="AB36" s="11">
        <v>3.4781092919035757E-2</v>
      </c>
      <c r="AC36" s="11">
        <v>7.2769836218614492E-2</v>
      </c>
      <c r="AD36" s="11">
        <v>4.4405398319839723E-2</v>
      </c>
      <c r="AE36" s="11">
        <v>4.9879376777740264E-2</v>
      </c>
      <c r="AF36" s="11"/>
    </row>
    <row r="37" spans="1:32" x14ac:dyDescent="0.35">
      <c r="A37" t="s">
        <v>154</v>
      </c>
      <c r="B37" s="16">
        <v>807143</v>
      </c>
      <c r="C37" s="16">
        <v>827645</v>
      </c>
      <c r="D37" s="16">
        <v>882567</v>
      </c>
      <c r="E37" s="16">
        <v>916829</v>
      </c>
      <c r="F37" s="16">
        <v>957419</v>
      </c>
      <c r="J37" t="s">
        <v>154</v>
      </c>
      <c r="K37" s="14">
        <f t="shared" si="20"/>
        <v>20502</v>
      </c>
      <c r="L37" s="14">
        <f t="shared" si="21"/>
        <v>54922</v>
      </c>
      <c r="M37" s="14">
        <f t="shared" si="22"/>
        <v>34262</v>
      </c>
      <c r="N37" s="14">
        <f t="shared" si="23"/>
        <v>40590</v>
      </c>
      <c r="O37" s="14">
        <f t="shared" si="24"/>
        <v>74852</v>
      </c>
      <c r="P37" s="14">
        <f t="shared" si="17"/>
        <v>150276</v>
      </c>
      <c r="R37" t="s">
        <v>154</v>
      </c>
      <c r="S37" s="12">
        <f t="shared" si="8"/>
        <v>2.5400703468902042E-2</v>
      </c>
      <c r="T37" s="12">
        <f t="shared" si="25"/>
        <v>6.6359369053156855E-2</v>
      </c>
      <c r="U37" s="12">
        <f t="shared" si="26"/>
        <v>3.8820848728765067E-2</v>
      </c>
      <c r="V37" s="12">
        <f t="shared" si="26"/>
        <v>4.4272159802973075E-2</v>
      </c>
      <c r="W37" s="12">
        <f t="shared" si="9"/>
        <v>8.4811691350345067E-2</v>
      </c>
      <c r="X37" s="12">
        <f t="shared" si="10"/>
        <v>0.18618262191458018</v>
      </c>
    </row>
    <row r="38" spans="1:32" x14ac:dyDescent="0.35">
      <c r="A38" t="s">
        <v>155</v>
      </c>
      <c r="B38" s="16">
        <v>761337</v>
      </c>
      <c r="C38" s="16">
        <v>804219</v>
      </c>
      <c r="D38" s="16">
        <v>824008</v>
      </c>
      <c r="E38" s="16">
        <v>862477</v>
      </c>
      <c r="F38" s="16">
        <v>864835</v>
      </c>
      <c r="J38" t="s">
        <v>155</v>
      </c>
      <c r="K38" s="14">
        <f t="shared" si="20"/>
        <v>42882</v>
      </c>
      <c r="L38" s="14">
        <f t="shared" si="21"/>
        <v>19789</v>
      </c>
      <c r="M38" s="14">
        <f t="shared" si="22"/>
        <v>38469</v>
      </c>
      <c r="N38" s="14">
        <f t="shared" si="23"/>
        <v>2358</v>
      </c>
      <c r="O38" s="14">
        <f t="shared" si="24"/>
        <v>40827</v>
      </c>
      <c r="P38" s="14">
        <f t="shared" si="17"/>
        <v>103498</v>
      </c>
      <c r="R38" t="s">
        <v>155</v>
      </c>
      <c r="S38" s="12">
        <f t="shared" si="8"/>
        <v>5.6324597385914513E-2</v>
      </c>
      <c r="T38" s="12">
        <f t="shared" si="25"/>
        <v>2.4606481567831649E-2</v>
      </c>
      <c r="U38" s="12">
        <f t="shared" si="26"/>
        <v>4.6685226357025662E-2</v>
      </c>
      <c r="V38" s="12">
        <f t="shared" si="26"/>
        <v>2.7339859497702546E-3</v>
      </c>
      <c r="W38" s="12">
        <f t="shared" si="9"/>
        <v>4.9546849059717867E-2</v>
      </c>
      <c r="X38" s="12">
        <f t="shared" si="10"/>
        <v>0.13594242759776551</v>
      </c>
    </row>
    <row r="39" spans="1:32" x14ac:dyDescent="0.35">
      <c r="A39" t="s">
        <v>156</v>
      </c>
      <c r="B39" s="16">
        <v>807766</v>
      </c>
      <c r="C39" s="16">
        <v>851783</v>
      </c>
      <c r="D39" s="16">
        <v>857183</v>
      </c>
      <c r="E39" s="16">
        <v>894014</v>
      </c>
      <c r="F39" s="16">
        <v>899498</v>
      </c>
      <c r="J39" t="s">
        <v>156</v>
      </c>
      <c r="K39" s="14">
        <f t="shared" si="20"/>
        <v>44017</v>
      </c>
      <c r="L39" s="14">
        <f t="shared" si="21"/>
        <v>5400</v>
      </c>
      <c r="M39" s="14">
        <f t="shared" si="22"/>
        <v>36831</v>
      </c>
      <c r="N39" s="14">
        <f t="shared" si="23"/>
        <v>5484</v>
      </c>
      <c r="O39" s="14">
        <f t="shared" si="24"/>
        <v>42315</v>
      </c>
      <c r="P39" s="14">
        <f t="shared" si="17"/>
        <v>91732</v>
      </c>
      <c r="R39" t="s">
        <v>156</v>
      </c>
      <c r="S39" s="12">
        <f t="shared" si="8"/>
        <v>5.4492266324653427E-2</v>
      </c>
      <c r="T39" s="12">
        <f t="shared" si="25"/>
        <v>6.3396428433063349E-3</v>
      </c>
      <c r="U39" s="12">
        <f t="shared" si="26"/>
        <v>4.2967487689326553E-2</v>
      </c>
      <c r="V39" s="12">
        <f t="shared" si="26"/>
        <v>6.1341321276848016E-3</v>
      </c>
      <c r="W39" s="12">
        <f t="shared" si="9"/>
        <v>4.9365188063692347E-2</v>
      </c>
      <c r="X39" s="12">
        <f t="shared" si="10"/>
        <v>0.11356259114644587</v>
      </c>
    </row>
    <row r="40" spans="1:32" x14ac:dyDescent="0.35">
      <c r="A40" t="s">
        <v>143</v>
      </c>
      <c r="B40" s="16">
        <v>129017</v>
      </c>
      <c r="C40" s="16">
        <v>143196</v>
      </c>
      <c r="D40" s="16">
        <v>155071</v>
      </c>
      <c r="E40" s="16">
        <v>165676</v>
      </c>
      <c r="F40" s="16">
        <v>164245</v>
      </c>
      <c r="J40" t="s">
        <v>143</v>
      </c>
      <c r="K40" s="14">
        <f t="shared" si="20"/>
        <v>14179</v>
      </c>
      <c r="L40" s="14">
        <f t="shared" si="21"/>
        <v>11875</v>
      </c>
      <c r="M40" s="14">
        <f t="shared" si="22"/>
        <v>10605</v>
      </c>
      <c r="N40" s="14">
        <f t="shared" si="23"/>
        <v>-1431</v>
      </c>
      <c r="O40" s="14">
        <f t="shared" si="24"/>
        <v>9174</v>
      </c>
      <c r="P40" s="14">
        <f t="shared" si="17"/>
        <v>35228</v>
      </c>
      <c r="R40" t="s">
        <v>143</v>
      </c>
      <c r="S40" s="12">
        <f t="shared" si="8"/>
        <v>0.1099002457040545</v>
      </c>
      <c r="T40" s="12">
        <f t="shared" si="25"/>
        <v>8.292829408642699E-2</v>
      </c>
      <c r="U40" s="12">
        <f t="shared" si="26"/>
        <v>6.8388028709429879E-2</v>
      </c>
      <c r="V40" s="12">
        <f t="shared" si="26"/>
        <v>-8.6373403510466209E-3</v>
      </c>
      <c r="W40" s="12">
        <f t="shared" si="9"/>
        <v>5.9159997678482762E-2</v>
      </c>
      <c r="X40" s="12">
        <f t="shared" si="10"/>
        <v>0.27304928807831524</v>
      </c>
    </row>
    <row r="41" spans="1:32" x14ac:dyDescent="0.35">
      <c r="A41" t="s">
        <v>162</v>
      </c>
      <c r="B41" s="16">
        <f>SUM(B37:B40)</f>
        <v>2505263</v>
      </c>
      <c r="C41" s="16">
        <f t="shared" ref="C41:G41" si="53">SUM(C37:C40)</f>
        <v>2626843</v>
      </c>
      <c r="D41" s="16">
        <f t="shared" si="53"/>
        <v>2718829</v>
      </c>
      <c r="E41" s="16">
        <f t="shared" si="53"/>
        <v>2838996</v>
      </c>
      <c r="F41" s="16">
        <f t="shared" si="53"/>
        <v>2885997</v>
      </c>
      <c r="G41" s="16">
        <f t="shared" si="53"/>
        <v>0</v>
      </c>
      <c r="J41" t="s">
        <v>162</v>
      </c>
      <c r="K41" s="14">
        <f>SUM(K37:K40)</f>
        <v>121580</v>
      </c>
      <c r="L41" s="14">
        <f t="shared" ref="L41:O41" si="54">SUM(L37:L40)</f>
        <v>91986</v>
      </c>
      <c r="M41" s="14">
        <f t="shared" si="54"/>
        <v>120167</v>
      </c>
      <c r="N41" s="14">
        <f t="shared" si="54"/>
        <v>47001</v>
      </c>
      <c r="O41" s="14">
        <f t="shared" si="54"/>
        <v>167168</v>
      </c>
      <c r="P41" s="14">
        <f t="shared" si="17"/>
        <v>380734</v>
      </c>
      <c r="R41" t="s">
        <v>162</v>
      </c>
      <c r="S41" s="12">
        <f t="shared" ref="S41:S47" si="55">K41/B41</f>
        <v>4.8529834991376156E-2</v>
      </c>
      <c r="T41" s="12">
        <f t="shared" ref="T41:T47" si="56">L41/C41</f>
        <v>3.5017699953899036E-2</v>
      </c>
      <c r="U41" s="12">
        <f t="shared" ref="U41:U47" si="57">M41/D41</f>
        <v>4.4198072037630903E-2</v>
      </c>
      <c r="V41" s="12">
        <f t="shared" ref="V41:V47" si="58">N41/E41</f>
        <v>1.6555500606552458E-2</v>
      </c>
      <c r="W41" s="12">
        <f t="shared" ref="W41:W47" si="59">O41/D41</f>
        <v>6.1485293852610812E-2</v>
      </c>
      <c r="X41" s="12">
        <f t="shared" ref="X41:X47" si="60">P41/B41</f>
        <v>0.15197366504035703</v>
      </c>
    </row>
    <row r="42" spans="1:32" x14ac:dyDescent="0.35">
      <c r="S42" s="12"/>
      <c r="T42" s="12"/>
      <c r="U42" s="12"/>
      <c r="V42" s="12"/>
      <c r="W42" s="12"/>
      <c r="X42" s="12"/>
    </row>
    <row r="43" spans="1:32" x14ac:dyDescent="0.35">
      <c r="S43" s="12"/>
      <c r="T43" s="12"/>
      <c r="U43" s="12"/>
      <c r="V43" s="12"/>
      <c r="W43" s="12"/>
      <c r="X43" s="12"/>
    </row>
    <row r="44" spans="1:32" x14ac:dyDescent="0.35">
      <c r="A44" t="s">
        <v>170</v>
      </c>
      <c r="B44" s="14">
        <f t="shared" ref="B44:G44" si="61">B7+B15+B30+B35+B41</f>
        <v>19692427</v>
      </c>
      <c r="C44" s="14">
        <f t="shared" si="61"/>
        <v>20382412</v>
      </c>
      <c r="D44" s="14">
        <f t="shared" si="61"/>
        <v>22018489</v>
      </c>
      <c r="E44" s="14">
        <f t="shared" si="61"/>
        <v>22807473</v>
      </c>
      <c r="F44" s="14">
        <f t="shared" si="61"/>
        <v>24166382</v>
      </c>
      <c r="G44" s="14">
        <f t="shared" si="61"/>
        <v>0</v>
      </c>
      <c r="H44" s="14"/>
      <c r="I44" s="14"/>
      <c r="J44" s="14"/>
      <c r="K44" s="14">
        <f t="shared" ref="K44:R44" si="62">K7+K15+K30+K35+K41</f>
        <v>689985</v>
      </c>
      <c r="L44" s="14">
        <f t="shared" si="62"/>
        <v>1636077</v>
      </c>
      <c r="M44" s="14">
        <f t="shared" si="62"/>
        <v>788984</v>
      </c>
      <c r="N44" s="14">
        <f t="shared" si="62"/>
        <v>1358909</v>
      </c>
      <c r="O44" s="14">
        <f t="shared" si="62"/>
        <v>2147893</v>
      </c>
      <c r="P44" s="14">
        <f t="shared" si="62"/>
        <v>4473955</v>
      </c>
      <c r="Q44" s="14">
        <f t="shared" si="62"/>
        <v>0</v>
      </c>
      <c r="R44" s="14" t="e">
        <f t="shared" si="62"/>
        <v>#VALUE!</v>
      </c>
      <c r="S44" s="12">
        <f t="shared" si="55"/>
        <v>3.5038088499706001E-2</v>
      </c>
      <c r="T44" s="12">
        <f t="shared" si="56"/>
        <v>8.0269057459931625E-2</v>
      </c>
      <c r="U44" s="12">
        <f t="shared" si="57"/>
        <v>3.5832794884335613E-2</v>
      </c>
      <c r="V44" s="12">
        <f t="shared" si="58"/>
        <v>5.9581743229510785E-2</v>
      </c>
      <c r="W44" s="12">
        <f t="shared" si="59"/>
        <v>9.7549518497840604E-2</v>
      </c>
      <c r="X44" s="12">
        <f t="shared" si="60"/>
        <v>0.22719165088183391</v>
      </c>
    </row>
    <row r="45" spans="1:32" x14ac:dyDescent="0.35">
      <c r="S45" s="12"/>
      <c r="T45" s="12"/>
      <c r="U45" s="12"/>
      <c r="V45" s="12"/>
      <c r="W45" s="12"/>
      <c r="X45" s="12"/>
    </row>
    <row r="46" spans="1:32" x14ac:dyDescent="0.35">
      <c r="S46" s="12"/>
      <c r="T46" s="12"/>
      <c r="U46" s="12"/>
      <c r="V46" s="12"/>
      <c r="W46" s="12"/>
      <c r="X46" s="12"/>
    </row>
    <row r="47" spans="1:32" x14ac:dyDescent="0.35">
      <c r="A47" t="s">
        <v>178</v>
      </c>
      <c r="B47" s="14">
        <f>B15+B30+B35+B41</f>
        <v>12620880</v>
      </c>
      <c r="C47" s="14">
        <f t="shared" ref="C47:P47" si="63">C15+C30+C35+C41</f>
        <v>13059848</v>
      </c>
      <c r="D47" s="14">
        <f t="shared" si="63"/>
        <v>14010211</v>
      </c>
      <c r="E47" s="14">
        <f t="shared" si="63"/>
        <v>14632340</v>
      </c>
      <c r="F47" s="14">
        <f t="shared" si="63"/>
        <v>15362192</v>
      </c>
      <c r="G47" s="14">
        <f t="shared" si="63"/>
        <v>0</v>
      </c>
      <c r="H47" s="14">
        <f t="shared" si="63"/>
        <v>0</v>
      </c>
      <c r="I47" s="14">
        <f t="shared" si="63"/>
        <v>0</v>
      </c>
      <c r="J47" t="s">
        <v>178</v>
      </c>
      <c r="K47" s="14">
        <f t="shared" si="63"/>
        <v>438968</v>
      </c>
      <c r="L47" s="14">
        <f t="shared" si="63"/>
        <v>950363</v>
      </c>
      <c r="M47" s="14">
        <f t="shared" si="63"/>
        <v>622129</v>
      </c>
      <c r="N47" s="14">
        <f t="shared" si="63"/>
        <v>729852</v>
      </c>
      <c r="O47" s="14">
        <f t="shared" si="63"/>
        <v>1351981</v>
      </c>
      <c r="P47" s="14">
        <f t="shared" si="63"/>
        <v>2741312</v>
      </c>
      <c r="R47" t="s">
        <v>178</v>
      </c>
      <c r="S47" s="12">
        <f t="shared" si="55"/>
        <v>3.4781092919035757E-2</v>
      </c>
      <c r="T47" s="12">
        <f t="shared" si="56"/>
        <v>7.2769836218614492E-2</v>
      </c>
      <c r="U47" s="12">
        <f t="shared" si="57"/>
        <v>4.4405398319839723E-2</v>
      </c>
      <c r="V47" s="12">
        <f t="shared" si="58"/>
        <v>4.9879376777740264E-2</v>
      </c>
      <c r="W47" s="12">
        <f t="shared" si="59"/>
        <v>9.6499688691340915E-2</v>
      </c>
      <c r="X47" s="12">
        <f t="shared" si="60"/>
        <v>0.2172045055495338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B6FB1-1969-40CA-8532-B23A6E26C544}">
  <sheetPr filterMode="1"/>
  <dimension ref="A1:G10"/>
  <sheetViews>
    <sheetView topLeftCell="F1" zoomScaleNormal="100" workbookViewId="0">
      <selection activeCell="F4" sqref="F4"/>
    </sheetView>
  </sheetViews>
  <sheetFormatPr defaultRowHeight="14.5" x14ac:dyDescent="0.35"/>
  <cols>
    <col min="2" max="2" width="57.1796875" customWidth="1"/>
    <col min="3" max="3" width="9.81640625" customWidth="1"/>
    <col min="4" max="4" width="40.54296875" customWidth="1"/>
    <col min="5" max="5" width="40.7265625" customWidth="1"/>
    <col min="6" max="6" width="69" customWidth="1"/>
    <col min="7" max="7" width="15.7265625" bestFit="1" customWidth="1"/>
  </cols>
  <sheetData>
    <row r="1" spans="1:7" x14ac:dyDescent="0.35">
      <c r="A1" t="s">
        <v>11</v>
      </c>
      <c r="B1" t="s">
        <v>0</v>
      </c>
      <c r="C1" t="s">
        <v>40</v>
      </c>
      <c r="D1" t="s">
        <v>31</v>
      </c>
      <c r="E1" t="s">
        <v>51</v>
      </c>
      <c r="F1" t="s">
        <v>52</v>
      </c>
      <c r="G1" t="s">
        <v>47</v>
      </c>
    </row>
    <row r="2" spans="1:7" ht="58" x14ac:dyDescent="0.35">
      <c r="A2">
        <v>1</v>
      </c>
      <c r="B2" s="2" t="s">
        <v>1</v>
      </c>
      <c r="C2" s="7" t="s">
        <v>41</v>
      </c>
      <c r="D2" s="10" t="s">
        <v>44</v>
      </c>
      <c r="E2" s="10" t="s">
        <v>45</v>
      </c>
      <c r="F2" s="10" t="s">
        <v>53</v>
      </c>
      <c r="G2" t="s">
        <v>48</v>
      </c>
    </row>
    <row r="3" spans="1:7" hidden="1" x14ac:dyDescent="0.35">
      <c r="A3">
        <v>2</v>
      </c>
      <c r="B3" s="6" t="s">
        <v>4</v>
      </c>
      <c r="C3" s="8" t="s">
        <v>42</v>
      </c>
    </row>
    <row r="4" spans="1:7" ht="43.5" x14ac:dyDescent="0.35">
      <c r="A4">
        <v>3</v>
      </c>
      <c r="B4" s="2" t="s">
        <v>5</v>
      </c>
      <c r="C4" s="7" t="s">
        <v>41</v>
      </c>
      <c r="D4" s="10" t="s">
        <v>43</v>
      </c>
      <c r="E4" s="10" t="s">
        <v>46</v>
      </c>
      <c r="F4" s="10" t="s">
        <v>54</v>
      </c>
      <c r="G4" t="s">
        <v>49</v>
      </c>
    </row>
    <row r="5" spans="1:7" hidden="1" x14ac:dyDescent="0.35">
      <c r="A5">
        <v>4</v>
      </c>
      <c r="B5" s="6" t="s">
        <v>6</v>
      </c>
      <c r="C5" s="8" t="s">
        <v>42</v>
      </c>
    </row>
    <row r="6" spans="1:7" ht="29" x14ac:dyDescent="0.35">
      <c r="A6">
        <v>5</v>
      </c>
      <c r="B6" s="2" t="s">
        <v>7</v>
      </c>
      <c r="C6" s="7" t="s">
        <v>41</v>
      </c>
      <c r="D6" s="10" t="s">
        <v>38</v>
      </c>
      <c r="E6" s="10" t="s">
        <v>39</v>
      </c>
      <c r="F6" s="10" t="s">
        <v>55</v>
      </c>
      <c r="G6" t="s">
        <v>50</v>
      </c>
    </row>
    <row r="7" spans="1:7" ht="29" x14ac:dyDescent="0.35">
      <c r="A7">
        <v>6</v>
      </c>
      <c r="B7" s="3" t="s">
        <v>8</v>
      </c>
      <c r="C7" s="9" t="s">
        <v>41</v>
      </c>
      <c r="D7" s="10" t="s">
        <v>34</v>
      </c>
      <c r="E7" s="10" t="s">
        <v>35</v>
      </c>
      <c r="F7" s="10" t="s">
        <v>56</v>
      </c>
    </row>
    <row r="8" spans="1:7" hidden="1" x14ac:dyDescent="0.35">
      <c r="A8">
        <v>7</v>
      </c>
      <c r="B8" s="2" t="s">
        <v>33</v>
      </c>
      <c r="C8" s="7" t="s">
        <v>42</v>
      </c>
    </row>
    <row r="9" spans="1:7" hidden="1" x14ac:dyDescent="0.35">
      <c r="A9">
        <v>8</v>
      </c>
      <c r="B9" s="6" t="s">
        <v>13</v>
      </c>
      <c r="C9" s="8" t="s">
        <v>42</v>
      </c>
    </row>
    <row r="10" spans="1:7" ht="58" x14ac:dyDescent="0.35">
      <c r="A10">
        <v>9</v>
      </c>
      <c r="B10" s="2" t="s">
        <v>10</v>
      </c>
      <c r="C10" s="7" t="s">
        <v>41</v>
      </c>
      <c r="D10" s="10" t="s">
        <v>36</v>
      </c>
      <c r="E10" s="10" t="s">
        <v>37</v>
      </c>
      <c r="F10" s="10" t="s">
        <v>57</v>
      </c>
    </row>
  </sheetData>
  <autoFilter ref="C1:C10" xr:uid="{17EB6FB1-1969-40CA-8532-B23A6E26C544}">
    <filterColumn colId="0">
      <filters>
        <filter val="Yes"/>
      </filters>
    </filterColumn>
  </autoFilter>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EB603-4042-4BE2-AFBC-85A7C806FCD4}">
  <dimension ref="A1:BI64"/>
  <sheetViews>
    <sheetView topLeftCell="AH10" zoomScaleNormal="100" workbookViewId="0">
      <selection activeCell="AU45" sqref="AU45"/>
    </sheetView>
  </sheetViews>
  <sheetFormatPr defaultRowHeight="14.5" x14ac:dyDescent="0.35"/>
  <cols>
    <col min="41" max="41" width="15.453125" style="14" customWidth="1"/>
    <col min="42" max="42" width="15.7265625" style="14" customWidth="1"/>
    <col min="43" max="43" width="15.1796875" style="14" bestFit="1" customWidth="1"/>
    <col min="46" max="46" width="14.81640625" customWidth="1"/>
    <col min="47" max="47" width="16.54296875" customWidth="1"/>
    <col min="48" max="48" width="15.7265625" customWidth="1"/>
  </cols>
  <sheetData>
    <row r="1" spans="1:61" ht="21" x14ac:dyDescent="0.5">
      <c r="A1" s="17" t="s">
        <v>1</v>
      </c>
    </row>
    <row r="3" spans="1:61" x14ac:dyDescent="0.35">
      <c r="BH3" t="s">
        <v>77</v>
      </c>
    </row>
    <row r="4" spans="1:61" x14ac:dyDescent="0.35">
      <c r="A4" t="s">
        <v>59</v>
      </c>
      <c r="N4" t="s">
        <v>62</v>
      </c>
      <c r="AA4" t="s">
        <v>70</v>
      </c>
    </row>
    <row r="5" spans="1:61" x14ac:dyDescent="0.35">
      <c r="B5" t="s">
        <v>58</v>
      </c>
      <c r="C5" t="s">
        <v>60</v>
      </c>
      <c r="D5" t="s">
        <v>61</v>
      </c>
      <c r="O5" t="s">
        <v>58</v>
      </c>
      <c r="P5" t="s">
        <v>60</v>
      </c>
      <c r="Q5" t="s">
        <v>61</v>
      </c>
      <c r="AB5" t="s">
        <v>58</v>
      </c>
      <c r="AC5" t="s">
        <v>60</v>
      </c>
      <c r="AD5" t="s">
        <v>61</v>
      </c>
      <c r="BH5" t="s">
        <v>78</v>
      </c>
      <c r="BI5" t="s">
        <v>79</v>
      </c>
    </row>
    <row r="6" spans="1:61" x14ac:dyDescent="0.35">
      <c r="A6">
        <v>2012</v>
      </c>
      <c r="B6" s="11">
        <v>0.05</v>
      </c>
      <c r="C6" s="11">
        <v>0.05</v>
      </c>
      <c r="D6" s="11">
        <v>0.05</v>
      </c>
      <c r="N6">
        <v>2012</v>
      </c>
      <c r="O6">
        <v>4.3</v>
      </c>
      <c r="P6">
        <v>4.3</v>
      </c>
      <c r="Q6">
        <v>4.3</v>
      </c>
      <c r="AA6">
        <v>2012</v>
      </c>
      <c r="AB6">
        <f>B6*O6</f>
        <v>0.215</v>
      </c>
      <c r="AC6">
        <f t="shared" ref="AC6:AD21" si="0">C6*P6</f>
        <v>0.215</v>
      </c>
      <c r="AD6">
        <f t="shared" si="0"/>
        <v>0.215</v>
      </c>
      <c r="AO6" s="15" t="s">
        <v>73</v>
      </c>
    </row>
    <row r="7" spans="1:61" x14ac:dyDescent="0.35">
      <c r="A7">
        <v>2013</v>
      </c>
      <c r="B7" s="11">
        <v>5.7999999999999996E-2</v>
      </c>
      <c r="C7" s="11">
        <v>5.7999999999999996E-2</v>
      </c>
      <c r="D7" s="11">
        <v>5.7999999999999996E-2</v>
      </c>
      <c r="N7">
        <v>2013</v>
      </c>
      <c r="O7">
        <v>4.46</v>
      </c>
      <c r="P7">
        <v>4.46</v>
      </c>
      <c r="Q7">
        <v>4.46</v>
      </c>
      <c r="AA7">
        <v>2013</v>
      </c>
      <c r="AB7">
        <f t="shared" ref="AB7:AB44" si="1">B7*O7</f>
        <v>0.25867999999999997</v>
      </c>
      <c r="AC7">
        <f t="shared" si="0"/>
        <v>0.25867999999999997</v>
      </c>
      <c r="AD7">
        <f t="shared" si="0"/>
        <v>0.25867999999999997</v>
      </c>
      <c r="AO7" s="29" t="s">
        <v>72</v>
      </c>
    </row>
    <row r="8" spans="1:61" x14ac:dyDescent="0.35">
      <c r="A8">
        <v>2014</v>
      </c>
      <c r="B8" s="11">
        <v>6.0999999999999999E-2</v>
      </c>
      <c r="C8" s="11">
        <v>6.0999999999999999E-2</v>
      </c>
      <c r="D8" s="11">
        <v>6.0999999999999999E-2</v>
      </c>
      <c r="N8">
        <v>2014</v>
      </c>
      <c r="O8">
        <v>4.6399999999999997</v>
      </c>
      <c r="P8">
        <v>4.6399999999999997</v>
      </c>
      <c r="Q8">
        <v>4.6399999999999997</v>
      </c>
      <c r="AA8">
        <v>2014</v>
      </c>
      <c r="AB8">
        <f t="shared" si="1"/>
        <v>0.28303999999999996</v>
      </c>
      <c r="AC8">
        <f t="shared" si="0"/>
        <v>0.28303999999999996</v>
      </c>
      <c r="AD8">
        <f t="shared" si="0"/>
        <v>0.28303999999999996</v>
      </c>
    </row>
    <row r="9" spans="1:61" x14ac:dyDescent="0.35">
      <c r="A9">
        <v>2015</v>
      </c>
      <c r="B9" s="11">
        <v>6.9000000000000006E-2</v>
      </c>
      <c r="C9" s="11">
        <v>6.9000000000000006E-2</v>
      </c>
      <c r="D9" s="11">
        <v>6.9000000000000006E-2</v>
      </c>
      <c r="N9">
        <v>2015</v>
      </c>
      <c r="O9">
        <v>4.72</v>
      </c>
      <c r="P9">
        <v>4.72</v>
      </c>
      <c r="Q9">
        <v>4.72</v>
      </c>
      <c r="AA9">
        <v>2015</v>
      </c>
      <c r="AB9">
        <f t="shared" si="1"/>
        <v>0.32568000000000003</v>
      </c>
      <c r="AC9">
        <f t="shared" si="0"/>
        <v>0.32568000000000003</v>
      </c>
      <c r="AD9">
        <f t="shared" si="0"/>
        <v>0.32568000000000003</v>
      </c>
    </row>
    <row r="10" spans="1:61" x14ac:dyDescent="0.35">
      <c r="A10">
        <v>2016</v>
      </c>
      <c r="B10" s="11">
        <v>7.6999999999999999E-2</v>
      </c>
      <c r="C10" s="11">
        <v>7.6999999999999999E-2</v>
      </c>
      <c r="D10" s="11">
        <v>7.6999999999999999E-2</v>
      </c>
      <c r="N10">
        <v>2016</v>
      </c>
      <c r="O10">
        <v>4.83</v>
      </c>
      <c r="P10">
        <v>4.83</v>
      </c>
      <c r="Q10">
        <v>4.83</v>
      </c>
      <c r="AA10">
        <v>2016</v>
      </c>
      <c r="AB10">
        <f t="shared" si="1"/>
        <v>0.37191000000000002</v>
      </c>
      <c r="AC10">
        <f t="shared" si="0"/>
        <v>0.37191000000000002</v>
      </c>
      <c r="AD10">
        <f t="shared" si="0"/>
        <v>0.37191000000000002</v>
      </c>
      <c r="AO10" s="16">
        <f>1200000*1000</f>
        <v>1200000000</v>
      </c>
      <c r="AP10" s="14" t="s">
        <v>74</v>
      </c>
    </row>
    <row r="11" spans="1:61" x14ac:dyDescent="0.35">
      <c r="A11">
        <v>2017</v>
      </c>
      <c r="B11" s="11">
        <v>8.5000000000000006E-2</v>
      </c>
      <c r="C11" s="11">
        <v>8.5000000000000006E-2</v>
      </c>
      <c r="D11" s="11">
        <v>8.5000000000000006E-2</v>
      </c>
      <c r="N11">
        <v>2017</v>
      </c>
      <c r="O11">
        <v>5.05</v>
      </c>
      <c r="P11">
        <v>5.05</v>
      </c>
      <c r="Q11">
        <v>5.05</v>
      </c>
      <c r="AA11">
        <v>2017</v>
      </c>
      <c r="AB11">
        <f t="shared" si="1"/>
        <v>0.42925000000000002</v>
      </c>
      <c r="AC11">
        <f t="shared" si="0"/>
        <v>0.42925000000000002</v>
      </c>
      <c r="AD11">
        <f t="shared" si="0"/>
        <v>0.42925000000000002</v>
      </c>
    </row>
    <row r="12" spans="1:61" x14ac:dyDescent="0.35">
      <c r="A12">
        <v>2018</v>
      </c>
      <c r="B12" s="11">
        <v>9.3000000000000013E-2</v>
      </c>
      <c r="C12" s="11">
        <v>9.3000000000000013E-2</v>
      </c>
      <c r="D12" s="11">
        <v>9.3000000000000013E-2</v>
      </c>
      <c r="N12">
        <v>2018</v>
      </c>
      <c r="O12">
        <v>5.26</v>
      </c>
      <c r="P12">
        <v>5.26</v>
      </c>
      <c r="Q12">
        <v>5.26</v>
      </c>
      <c r="AA12">
        <v>2018</v>
      </c>
      <c r="AB12">
        <f t="shared" si="1"/>
        <v>0.48918000000000006</v>
      </c>
      <c r="AC12">
        <f t="shared" si="0"/>
        <v>0.48918000000000006</v>
      </c>
      <c r="AD12">
        <f t="shared" si="0"/>
        <v>0.48918000000000006</v>
      </c>
      <c r="AN12" t="s">
        <v>75</v>
      </c>
      <c r="AS12" t="s">
        <v>76</v>
      </c>
    </row>
    <row r="13" spans="1:61" x14ac:dyDescent="0.35">
      <c r="A13">
        <v>2019</v>
      </c>
      <c r="B13" s="11">
        <v>0.1</v>
      </c>
      <c r="C13" s="11">
        <v>0.1</v>
      </c>
      <c r="D13" s="11">
        <v>0.1</v>
      </c>
      <c r="N13">
        <v>2019</v>
      </c>
      <c r="O13">
        <v>5.41</v>
      </c>
      <c r="P13">
        <v>5.41</v>
      </c>
      <c r="Q13">
        <v>5.41</v>
      </c>
      <c r="AA13">
        <v>2019</v>
      </c>
      <c r="AB13">
        <f t="shared" si="1"/>
        <v>0.54100000000000004</v>
      </c>
      <c r="AC13">
        <f t="shared" si="0"/>
        <v>0.54100000000000004</v>
      </c>
      <c r="AD13">
        <f t="shared" si="0"/>
        <v>0.54100000000000004</v>
      </c>
      <c r="AO13" s="14" t="s">
        <v>58</v>
      </c>
      <c r="AP13" s="14" t="s">
        <v>60</v>
      </c>
      <c r="AQ13" s="14" t="s">
        <v>61</v>
      </c>
      <c r="AT13" s="14" t="s">
        <v>58</v>
      </c>
      <c r="AU13" s="14" t="s">
        <v>60</v>
      </c>
      <c r="AV13" s="14" t="s">
        <v>61</v>
      </c>
    </row>
    <row r="14" spans="1:61" x14ac:dyDescent="0.35">
      <c r="A14">
        <v>2020</v>
      </c>
      <c r="B14" s="11">
        <v>0.12</v>
      </c>
      <c r="C14" s="11">
        <v>0.12</v>
      </c>
      <c r="D14" s="11">
        <v>0.12</v>
      </c>
      <c r="N14">
        <v>2020</v>
      </c>
      <c r="O14">
        <v>5.58</v>
      </c>
      <c r="P14">
        <v>5.58</v>
      </c>
      <c r="Q14">
        <v>5.58</v>
      </c>
      <c r="AA14">
        <v>2020</v>
      </c>
      <c r="AB14">
        <f t="shared" si="1"/>
        <v>0.66959999999999997</v>
      </c>
      <c r="AC14">
        <f t="shared" si="0"/>
        <v>0.66959999999999997</v>
      </c>
      <c r="AD14">
        <f t="shared" si="0"/>
        <v>0.66959999999999997</v>
      </c>
      <c r="AN14">
        <v>2020</v>
      </c>
      <c r="AO14" s="14">
        <f>AB14*$AO$10</f>
        <v>803520000</v>
      </c>
      <c r="AP14" s="14">
        <f t="shared" ref="AP14:AQ14" si="2">AC14*$AO$10</f>
        <v>803520000</v>
      </c>
      <c r="AQ14" s="14">
        <f t="shared" si="2"/>
        <v>803520000</v>
      </c>
      <c r="AS14">
        <v>2020</v>
      </c>
      <c r="AT14" s="14">
        <f>AO14</f>
        <v>803520000</v>
      </c>
      <c r="AU14" s="14">
        <f t="shared" ref="AU14:AV14" si="3">AP14</f>
        <v>803520000</v>
      </c>
      <c r="AV14" s="14">
        <f t="shared" si="3"/>
        <v>803520000</v>
      </c>
    </row>
    <row r="15" spans="1:61" x14ac:dyDescent="0.35">
      <c r="A15">
        <v>2021</v>
      </c>
      <c r="B15" s="11">
        <v>0.13600000000000001</v>
      </c>
      <c r="C15" s="11">
        <v>0.13600000000000001</v>
      </c>
      <c r="D15" s="11">
        <v>0.13600000000000001</v>
      </c>
      <c r="N15">
        <v>2021</v>
      </c>
      <c r="O15">
        <f>1.192*O14</f>
        <v>6.6513599999999995</v>
      </c>
      <c r="P15">
        <v>6.6513599999999995</v>
      </c>
      <c r="Q15">
        <v>6.6513599999999995</v>
      </c>
      <c r="AA15">
        <v>2021</v>
      </c>
      <c r="AB15">
        <f t="shared" si="1"/>
        <v>0.90458495999999999</v>
      </c>
      <c r="AC15">
        <f t="shared" si="0"/>
        <v>0.90458495999999999</v>
      </c>
      <c r="AD15">
        <f t="shared" si="0"/>
        <v>0.90458495999999999</v>
      </c>
      <c r="AN15">
        <v>2021</v>
      </c>
      <c r="AO15" s="14">
        <f t="shared" ref="AO15:AO44" si="4">AB15*$AO$10</f>
        <v>1085501952</v>
      </c>
      <c r="AP15" s="14">
        <f t="shared" ref="AP15:AP44" si="5">AC15*$AO$10</f>
        <v>1085501952</v>
      </c>
      <c r="AQ15" s="14">
        <f t="shared" ref="AQ15:AQ44" si="6">AD15*$AO$10</f>
        <v>1085501952</v>
      </c>
      <c r="AS15">
        <v>2021</v>
      </c>
      <c r="AT15" s="14">
        <f>0.99*AO15</f>
        <v>1074646932.48</v>
      </c>
      <c r="AU15" s="14">
        <f t="shared" ref="AU15:AV15" si="7">0.99*AP15</f>
        <v>1074646932.48</v>
      </c>
      <c r="AV15" s="14">
        <f t="shared" si="7"/>
        <v>1074646932.48</v>
      </c>
    </row>
    <row r="16" spans="1:61" x14ac:dyDescent="0.35">
      <c r="A16">
        <v>2022</v>
      </c>
      <c r="B16" s="11">
        <v>0.14194320000000002</v>
      </c>
      <c r="C16" s="12">
        <f>C15*1.053</f>
        <v>0.143208</v>
      </c>
      <c r="D16" s="13">
        <f>B16</f>
        <v>0.14194320000000002</v>
      </c>
      <c r="N16">
        <v>2022</v>
      </c>
      <c r="O16">
        <f>O15*1.0331</f>
        <v>6.871520015999999</v>
      </c>
      <c r="P16">
        <f>P15*1.0662</f>
        <v>7.0916800319999993</v>
      </c>
      <c r="Q16">
        <f>Q15*1.01665</f>
        <v>6.7621051439999995</v>
      </c>
      <c r="AA16">
        <v>2022</v>
      </c>
      <c r="AB16">
        <f t="shared" si="1"/>
        <v>0.97536553993509123</v>
      </c>
      <c r="AC16">
        <f t="shared" si="0"/>
        <v>1.0155853140226558</v>
      </c>
      <c r="AD16">
        <f t="shared" si="0"/>
        <v>0.95983484287582088</v>
      </c>
      <c r="AN16">
        <v>2022</v>
      </c>
      <c r="AO16" s="14">
        <f t="shared" si="4"/>
        <v>1170438647.9221094</v>
      </c>
      <c r="AP16" s="14">
        <f t="shared" si="5"/>
        <v>1218702376.8271871</v>
      </c>
      <c r="AQ16" s="14">
        <f t="shared" si="6"/>
        <v>1151801811.450985</v>
      </c>
      <c r="AS16">
        <v>2022</v>
      </c>
      <c r="AT16" s="14">
        <f>0.98*AO16</f>
        <v>1147029874.9636672</v>
      </c>
      <c r="AU16" s="14">
        <f t="shared" ref="AU16:AV16" si="8">0.98*AP16</f>
        <v>1194328329.2906432</v>
      </c>
      <c r="AV16" s="14">
        <f t="shared" si="8"/>
        <v>1128765775.2219653</v>
      </c>
    </row>
    <row r="17" spans="1:61" x14ac:dyDescent="0.35">
      <c r="A17">
        <v>2023</v>
      </c>
      <c r="B17" s="11">
        <v>0.14814611784000001</v>
      </c>
      <c r="C17" s="12">
        <f t="shared" ref="C17:C43" si="9">C16*1.053</f>
        <v>0.150798024</v>
      </c>
      <c r="D17" s="13">
        <f t="shared" ref="D17:D33" si="10">B17</f>
        <v>0.14814611784000001</v>
      </c>
      <c r="N17">
        <v>2023</v>
      </c>
      <c r="O17">
        <f t="shared" ref="O17:O44" si="11">O16*1.0331</f>
        <v>7.0989673285295982</v>
      </c>
      <c r="P17">
        <f t="shared" ref="P17:P44" si="12">P16*1.0662</f>
        <v>7.5611492501183992</v>
      </c>
      <c r="Q17">
        <f t="shared" ref="Q17:Q44" si="13">Q16*1.01665</f>
        <v>6.8746941946476001</v>
      </c>
      <c r="AA17">
        <v>2023</v>
      </c>
      <c r="AB17">
        <f t="shared" si="1"/>
        <v>1.0516844503946559</v>
      </c>
      <c r="AC17">
        <f t="shared" si="0"/>
        <v>1.1402063660869364</v>
      </c>
      <c r="AD17">
        <f t="shared" si="0"/>
        <v>1.0184592562742274</v>
      </c>
      <c r="AN17">
        <v>2023</v>
      </c>
      <c r="AO17" s="14">
        <f t="shared" si="4"/>
        <v>1262021340.473587</v>
      </c>
      <c r="AP17" s="14">
        <f t="shared" si="5"/>
        <v>1368247639.3043237</v>
      </c>
      <c r="AQ17" s="14">
        <f t="shared" si="6"/>
        <v>1222151107.5290728</v>
      </c>
      <c r="AS17">
        <v>2023</v>
      </c>
      <c r="AT17" s="14">
        <f>0.97*AO17</f>
        <v>1224160700.2593794</v>
      </c>
      <c r="AU17" s="14">
        <f t="shared" ref="AU17:AV17" si="14">0.97*AP17</f>
        <v>1327200210.1251938</v>
      </c>
      <c r="AV17" s="14">
        <f t="shared" si="14"/>
        <v>1185486574.3032005</v>
      </c>
    </row>
    <row r="18" spans="1:61" x14ac:dyDescent="0.35">
      <c r="A18">
        <v>2024</v>
      </c>
      <c r="B18" s="11">
        <v>0.15462010318960803</v>
      </c>
      <c r="C18" s="12">
        <f t="shared" si="9"/>
        <v>0.15879031927199999</v>
      </c>
      <c r="D18" s="13">
        <f t="shared" si="10"/>
        <v>0.15462010318960803</v>
      </c>
      <c r="N18">
        <v>2024</v>
      </c>
      <c r="O18">
        <f t="shared" si="11"/>
        <v>7.3339431471039269</v>
      </c>
      <c r="P18">
        <f t="shared" si="12"/>
        <v>8.0616973304762372</v>
      </c>
      <c r="Q18">
        <f t="shared" si="13"/>
        <v>6.989157852988483</v>
      </c>
      <c r="AA18">
        <v>2024</v>
      </c>
      <c r="AB18">
        <f t="shared" si="1"/>
        <v>1.1339750461919278</v>
      </c>
      <c r="AC18">
        <f t="shared" si="0"/>
        <v>1.2801194929805517</v>
      </c>
      <c r="AD18">
        <f t="shared" si="0"/>
        <v>1.0806643084375385</v>
      </c>
      <c r="AN18">
        <v>2024</v>
      </c>
      <c r="AO18" s="14">
        <f t="shared" si="4"/>
        <v>1360770055.4303133</v>
      </c>
      <c r="AP18" s="14">
        <f t="shared" si="5"/>
        <v>1536143391.5766621</v>
      </c>
      <c r="AQ18" s="14">
        <f t="shared" si="6"/>
        <v>1296797170.1250463</v>
      </c>
      <c r="AS18">
        <v>2024</v>
      </c>
      <c r="AT18" s="14">
        <f>0.96*AO18</f>
        <v>1306339253.2131007</v>
      </c>
      <c r="AU18" s="14">
        <f t="shared" ref="AU18:AV18" si="15">0.96*AP18</f>
        <v>1474697655.9135954</v>
      </c>
      <c r="AV18" s="14">
        <f t="shared" si="15"/>
        <v>1244925283.3200443</v>
      </c>
    </row>
    <row r="19" spans="1:61" x14ac:dyDescent="0.35">
      <c r="A19">
        <v>2025</v>
      </c>
      <c r="B19" s="11">
        <v>0.16137700169899394</v>
      </c>
      <c r="C19" s="12">
        <f t="shared" si="9"/>
        <v>0.16720620619341597</v>
      </c>
      <c r="D19" s="13">
        <f t="shared" si="10"/>
        <v>0.16137700169899394</v>
      </c>
      <c r="N19">
        <v>2025</v>
      </c>
      <c r="O19">
        <f t="shared" si="11"/>
        <v>7.5766966652730661</v>
      </c>
      <c r="P19">
        <f t="shared" si="12"/>
        <v>8.5953816937537635</v>
      </c>
      <c r="Q19">
        <f t="shared" si="13"/>
        <v>7.1055273312407419</v>
      </c>
      <c r="AA19">
        <v>2025</v>
      </c>
      <c r="AB19">
        <f t="shared" si="1"/>
        <v>1.2227045906245333</v>
      </c>
      <c r="AC19">
        <f t="shared" si="0"/>
        <v>1.4372011637969049</v>
      </c>
      <c r="AD19">
        <f t="shared" si="0"/>
        <v>1.146668696205885</v>
      </c>
      <c r="AN19">
        <v>2025</v>
      </c>
      <c r="AO19" s="14">
        <f t="shared" si="4"/>
        <v>1467245508.74944</v>
      </c>
      <c r="AP19" s="14">
        <f t="shared" si="5"/>
        <v>1724641396.5562859</v>
      </c>
      <c r="AQ19" s="14">
        <f t="shared" si="6"/>
        <v>1376002435.447062</v>
      </c>
      <c r="AS19">
        <v>2025</v>
      </c>
      <c r="AT19" s="14">
        <f>0.95*AO19</f>
        <v>1393883233.3119678</v>
      </c>
      <c r="AU19" s="14">
        <f t="shared" ref="AU19:AV19" si="16">0.95*AP19</f>
        <v>1638409326.7284715</v>
      </c>
      <c r="AV19" s="14">
        <f t="shared" si="16"/>
        <v>1307202313.6747088</v>
      </c>
    </row>
    <row r="20" spans="1:61" x14ac:dyDescent="0.35">
      <c r="A20">
        <v>2026</v>
      </c>
      <c r="B20" s="11">
        <v>0.16842917667323998</v>
      </c>
      <c r="C20" s="12">
        <f t="shared" si="9"/>
        <v>0.176068135121667</v>
      </c>
      <c r="D20" s="13">
        <f t="shared" si="10"/>
        <v>0.16842917667323998</v>
      </c>
      <c r="N20">
        <v>2026</v>
      </c>
      <c r="O20">
        <f t="shared" si="11"/>
        <v>7.8274853248936038</v>
      </c>
      <c r="P20">
        <f t="shared" si="12"/>
        <v>9.1643959618802633</v>
      </c>
      <c r="Q20">
        <f t="shared" si="13"/>
        <v>7.2238343613059008</v>
      </c>
      <c r="AA20">
        <v>2026</v>
      </c>
      <c r="AB20">
        <f t="shared" si="1"/>
        <v>1.3183769086936981</v>
      </c>
      <c r="AC20">
        <f t="shared" si="0"/>
        <v>1.6135581065247935</v>
      </c>
      <c r="AD20">
        <f t="shared" si="0"/>
        <v>1.2167044738986132</v>
      </c>
      <c r="AN20">
        <v>2026</v>
      </c>
      <c r="AO20" s="14">
        <f t="shared" si="4"/>
        <v>1582052290.4324377</v>
      </c>
      <c r="AP20" s="14">
        <f t="shared" si="5"/>
        <v>1936269727.8297522</v>
      </c>
      <c r="AQ20" s="14">
        <f t="shared" si="6"/>
        <v>1460045368.6783359</v>
      </c>
      <c r="AS20">
        <v>2026</v>
      </c>
      <c r="AT20" s="14">
        <f>0.94*AO20</f>
        <v>1487129153.0064914</v>
      </c>
      <c r="AU20" s="14">
        <f t="shared" ref="AU20:AV20" si="17">0.94*AP20</f>
        <v>1820093544.1599669</v>
      </c>
      <c r="AV20" s="14">
        <f t="shared" si="17"/>
        <v>1372442646.5576358</v>
      </c>
    </row>
    <row r="21" spans="1:61" x14ac:dyDescent="0.35">
      <c r="A21">
        <v>2027</v>
      </c>
      <c r="B21" s="11">
        <v>0.17578953169386058</v>
      </c>
      <c r="C21" s="12">
        <f t="shared" si="9"/>
        <v>0.18539974628311534</v>
      </c>
      <c r="D21" s="13">
        <f t="shared" si="10"/>
        <v>0.17578953169386058</v>
      </c>
      <c r="N21">
        <v>2027</v>
      </c>
      <c r="O21">
        <f t="shared" si="11"/>
        <v>8.0865750891475816</v>
      </c>
      <c r="P21">
        <f t="shared" si="12"/>
        <v>9.7710789745567368</v>
      </c>
      <c r="Q21">
        <f t="shared" si="13"/>
        <v>7.3441112034216447</v>
      </c>
      <c r="AA21">
        <v>2027</v>
      </c>
      <c r="AB21">
        <f t="shared" si="1"/>
        <v>1.4215352479284922</v>
      </c>
      <c r="AC21">
        <f t="shared" si="0"/>
        <v>1.8115555627951019</v>
      </c>
      <c r="AD21">
        <f t="shared" si="0"/>
        <v>1.2910178691571257</v>
      </c>
      <c r="AN21">
        <v>2027</v>
      </c>
      <c r="AO21" s="14">
        <f t="shared" si="4"/>
        <v>1705842297.5141907</v>
      </c>
      <c r="AP21" s="14">
        <f t="shared" si="5"/>
        <v>2173866675.3541222</v>
      </c>
      <c r="AQ21" s="14">
        <f t="shared" si="6"/>
        <v>1549221442.9885509</v>
      </c>
      <c r="AS21">
        <v>2027</v>
      </c>
      <c r="AT21" s="14">
        <f>0.93*AO21</f>
        <v>1586433336.6881974</v>
      </c>
      <c r="AU21" s="14">
        <f t="shared" ref="AU21:AV21" si="18">0.93*AP21</f>
        <v>2021696008.0793338</v>
      </c>
      <c r="AV21" s="14">
        <f t="shared" si="18"/>
        <v>1440775941.9793525</v>
      </c>
    </row>
    <row r="22" spans="1:61" x14ac:dyDescent="0.35">
      <c r="A22">
        <v>2028</v>
      </c>
      <c r="B22" s="11">
        <v>0.18347153422888229</v>
      </c>
      <c r="C22" s="12">
        <f t="shared" si="9"/>
        <v>0.19522593283612044</v>
      </c>
      <c r="D22" s="13">
        <f t="shared" si="10"/>
        <v>0.18347153422888229</v>
      </c>
      <c r="N22">
        <v>2028</v>
      </c>
      <c r="O22">
        <f t="shared" si="11"/>
        <v>8.3542407245983661</v>
      </c>
      <c r="P22">
        <f t="shared" si="12"/>
        <v>10.417924402672393</v>
      </c>
      <c r="Q22">
        <f t="shared" si="13"/>
        <v>7.4663906549586159</v>
      </c>
      <c r="AA22">
        <v>2028</v>
      </c>
      <c r="AB22">
        <f t="shared" si="1"/>
        <v>1.5327653630594715</v>
      </c>
      <c r="AC22">
        <f t="shared" ref="AC22:AC44" si="19">C22*P22</f>
        <v>2.0338490097279007</v>
      </c>
      <c r="AD22">
        <f t="shared" ref="AD22:AD44" si="20">D22*Q22</f>
        <v>1.3698701486174465</v>
      </c>
      <c r="AN22">
        <v>2028</v>
      </c>
      <c r="AO22" s="14">
        <f t="shared" si="4"/>
        <v>1839318435.6713657</v>
      </c>
      <c r="AP22" s="14">
        <f t="shared" si="5"/>
        <v>2440618811.673481</v>
      </c>
      <c r="AQ22" s="14">
        <f t="shared" si="6"/>
        <v>1643844178.3409357</v>
      </c>
      <c r="AS22">
        <v>2028</v>
      </c>
      <c r="AT22" s="14">
        <f>0.92*AO22</f>
        <v>1692172960.8176565</v>
      </c>
      <c r="AU22" s="14">
        <f t="shared" ref="AU22:AV22" si="21">0.92*AP22</f>
        <v>2245369306.7396026</v>
      </c>
      <c r="AV22" s="14">
        <f t="shared" si="21"/>
        <v>1512336644.0736609</v>
      </c>
    </row>
    <row r="23" spans="1:61" x14ac:dyDescent="0.35">
      <c r="A23">
        <v>2029</v>
      </c>
      <c r="B23" s="11">
        <v>0.19148924027468447</v>
      </c>
      <c r="C23" s="12">
        <f t="shared" si="9"/>
        <v>0.20557290727643482</v>
      </c>
      <c r="D23" s="13">
        <f t="shared" si="10"/>
        <v>0.19148924027468447</v>
      </c>
      <c r="N23">
        <v>2029</v>
      </c>
      <c r="O23">
        <f t="shared" si="11"/>
        <v>8.6307660925825704</v>
      </c>
      <c r="P23">
        <f t="shared" si="12"/>
        <v>11.107590998129306</v>
      </c>
      <c r="Q23">
        <f t="shared" si="13"/>
        <v>7.5907060593636775</v>
      </c>
      <c r="AA23">
        <v>2029</v>
      </c>
      <c r="AB23">
        <f t="shared" si="1"/>
        <v>1.6526988420571436</v>
      </c>
      <c r="AC23">
        <f t="shared" si="19"/>
        <v>2.2834197743229976</v>
      </c>
      <c r="AD23">
        <f t="shared" si="20"/>
        <v>1.4535385364559945</v>
      </c>
      <c r="AN23">
        <v>2029</v>
      </c>
      <c r="AO23" s="14">
        <f t="shared" si="4"/>
        <v>1983238610.4685724</v>
      </c>
      <c r="AP23" s="14">
        <f t="shared" si="5"/>
        <v>2740103729.1875973</v>
      </c>
      <c r="AQ23" s="14">
        <f t="shared" si="6"/>
        <v>1744246243.7471933</v>
      </c>
      <c r="AS23">
        <v>2029</v>
      </c>
      <c r="AT23" s="14">
        <f>0.91*AO23</f>
        <v>1804747135.526401</v>
      </c>
      <c r="AU23" s="14">
        <f t="shared" ref="AU23:AV23" si="22">0.91*AP23</f>
        <v>2493494393.5607138</v>
      </c>
      <c r="AV23" s="14">
        <f t="shared" si="22"/>
        <v>1587264081.8099461</v>
      </c>
    </row>
    <row r="24" spans="1:61" x14ac:dyDescent="0.35">
      <c r="A24">
        <v>2030</v>
      </c>
      <c r="B24" s="11">
        <v>0.19985732007468818</v>
      </c>
      <c r="C24" s="12">
        <f t="shared" si="9"/>
        <v>0.21646827136208585</v>
      </c>
      <c r="D24" s="13">
        <f t="shared" si="10"/>
        <v>0.19985732007468818</v>
      </c>
      <c r="N24">
        <v>2030</v>
      </c>
      <c r="O24">
        <f t="shared" si="11"/>
        <v>8.9164444502470523</v>
      </c>
      <c r="P24">
        <f t="shared" si="12"/>
        <v>11.842913522205466</v>
      </c>
      <c r="Q24">
        <f t="shared" si="13"/>
        <v>7.717091315252083</v>
      </c>
      <c r="AA24">
        <v>2030</v>
      </c>
      <c r="AB24">
        <f t="shared" si="1"/>
        <v>1.7820166924212022</v>
      </c>
      <c r="AC24">
        <f t="shared" si="19"/>
        <v>2.5636150180424888</v>
      </c>
      <c r="AD24">
        <f t="shared" si="20"/>
        <v>1.5423171890379319</v>
      </c>
      <c r="AN24">
        <v>2030</v>
      </c>
      <c r="AO24" s="14">
        <f t="shared" si="4"/>
        <v>2138420030.9054427</v>
      </c>
      <c r="AP24" s="14">
        <f t="shared" si="5"/>
        <v>3076338021.6509867</v>
      </c>
      <c r="AQ24" s="14">
        <f t="shared" si="6"/>
        <v>1850780626.8455184</v>
      </c>
      <c r="AS24">
        <v>2030</v>
      </c>
      <c r="AT24" s="14">
        <f>0.9*AO24</f>
        <v>1924578027.8148985</v>
      </c>
      <c r="AU24" s="14">
        <f t="shared" ref="AU24:AV24" si="23">0.9*AP24</f>
        <v>2768704219.485888</v>
      </c>
      <c r="AV24" s="14">
        <f t="shared" si="23"/>
        <v>1665702564.1609666</v>
      </c>
    </row>
    <row r="25" spans="1:61" x14ac:dyDescent="0.35">
      <c r="A25">
        <v>2031</v>
      </c>
      <c r="B25" s="11">
        <v>0.20859108496195208</v>
      </c>
      <c r="C25" s="12">
        <f t="shared" si="9"/>
        <v>0.22794108974427638</v>
      </c>
      <c r="D25" s="13">
        <f t="shared" si="10"/>
        <v>0.20859108496195208</v>
      </c>
      <c r="N25">
        <v>2031</v>
      </c>
      <c r="O25">
        <f t="shared" si="11"/>
        <v>9.2115787615502285</v>
      </c>
      <c r="P25">
        <f t="shared" si="12"/>
        <v>12.626914397375469</v>
      </c>
      <c r="Q25">
        <f t="shared" si="13"/>
        <v>7.8455808856510307</v>
      </c>
      <c r="AA25">
        <v>2031</v>
      </c>
      <c r="AB25">
        <f t="shared" si="1"/>
        <v>1.921453208084237</v>
      </c>
      <c r="AC25">
        <f t="shared" si="19"/>
        <v>2.8781926278454573</v>
      </c>
      <c r="AD25">
        <f t="shared" si="20"/>
        <v>1.6365182290947013</v>
      </c>
      <c r="AN25">
        <v>2031</v>
      </c>
      <c r="AO25" s="14">
        <f t="shared" si="4"/>
        <v>2305743849.7010846</v>
      </c>
      <c r="AP25" s="14">
        <f t="shared" si="5"/>
        <v>3453831153.4145489</v>
      </c>
      <c r="AQ25" s="14">
        <f t="shared" si="6"/>
        <v>1963821874.9136417</v>
      </c>
      <c r="AS25">
        <v>2031</v>
      </c>
      <c r="AT25" s="14">
        <f>0.89*AO25</f>
        <v>2052112026.2339654</v>
      </c>
      <c r="AU25" s="14">
        <f t="shared" ref="AU25:AV25" si="24">0.89*AP25</f>
        <v>3073909726.5389485</v>
      </c>
      <c r="AV25" s="14">
        <f t="shared" si="24"/>
        <v>1747801468.6731412</v>
      </c>
    </row>
    <row r="26" spans="1:61" x14ac:dyDescent="0.35">
      <c r="A26">
        <v>2032</v>
      </c>
      <c r="B26" s="11">
        <v>0.21770651537478941</v>
      </c>
      <c r="C26" s="12">
        <f t="shared" si="9"/>
        <v>0.24002196750072302</v>
      </c>
      <c r="D26" s="13">
        <f t="shared" si="10"/>
        <v>0.21770651537478941</v>
      </c>
      <c r="N26">
        <v>2032</v>
      </c>
      <c r="O26">
        <f t="shared" si="11"/>
        <v>9.5164820185575394</v>
      </c>
      <c r="P26">
        <f t="shared" si="12"/>
        <v>13.462816130481725</v>
      </c>
      <c r="Q26">
        <f t="shared" si="13"/>
        <v>7.9762098073971206</v>
      </c>
      <c r="AA26">
        <v>2032</v>
      </c>
      <c r="AB26">
        <f t="shared" si="1"/>
        <v>2.0718001388870038</v>
      </c>
      <c r="AC26">
        <f t="shared" si="19"/>
        <v>3.2313716157386945</v>
      </c>
      <c r="AD26">
        <f t="shared" si="20"/>
        <v>1.7364728430666474</v>
      </c>
      <c r="AN26">
        <v>2032</v>
      </c>
      <c r="AO26" s="14">
        <f t="shared" si="4"/>
        <v>2486160166.6644044</v>
      </c>
      <c r="AP26" s="14">
        <f t="shared" si="5"/>
        <v>3877645938.8864336</v>
      </c>
      <c r="AQ26" s="14">
        <f t="shared" si="6"/>
        <v>2083767411.6799769</v>
      </c>
      <c r="AS26">
        <v>2032</v>
      </c>
      <c r="AT26" s="14">
        <f>0.88*AO26</f>
        <v>2187820946.6646757</v>
      </c>
      <c r="AU26" s="14">
        <f t="shared" ref="AU26:AV26" si="25">0.88*AP26</f>
        <v>3412328426.2200618</v>
      </c>
      <c r="AV26" s="14">
        <f t="shared" si="25"/>
        <v>1833715322.2783797</v>
      </c>
    </row>
    <row r="27" spans="1:61" x14ac:dyDescent="0.35">
      <c r="A27">
        <v>2033</v>
      </c>
      <c r="B27" s="11">
        <v>0.22722029009666772</v>
      </c>
      <c r="C27" s="12">
        <f t="shared" si="9"/>
        <v>0.2527431317782613</v>
      </c>
      <c r="D27" s="13">
        <f t="shared" si="10"/>
        <v>0.22722029009666772</v>
      </c>
      <c r="N27">
        <v>2033</v>
      </c>
      <c r="O27">
        <f t="shared" si="11"/>
        <v>9.8314775733717923</v>
      </c>
      <c r="P27">
        <f t="shared" si="12"/>
        <v>14.354054558319616</v>
      </c>
      <c r="Q27">
        <f t="shared" si="13"/>
        <v>8.1090137006902836</v>
      </c>
      <c r="AA27">
        <v>2033</v>
      </c>
      <c r="AB27">
        <f t="shared" si="1"/>
        <v>2.2339111863004213</v>
      </c>
      <c r="AC27">
        <f t="shared" si="19"/>
        <v>3.6278887027857269</v>
      </c>
      <c r="AD27">
        <f t="shared" si="20"/>
        <v>1.8425324454686993</v>
      </c>
      <c r="AN27">
        <v>2033</v>
      </c>
      <c r="AO27" s="14">
        <f t="shared" si="4"/>
        <v>2680693423.5605054</v>
      </c>
      <c r="AP27" s="14">
        <f t="shared" si="5"/>
        <v>4353466443.3428726</v>
      </c>
      <c r="AQ27" s="14">
        <f t="shared" si="6"/>
        <v>2211038934.562439</v>
      </c>
      <c r="AS27">
        <v>2033</v>
      </c>
      <c r="AT27" s="14">
        <f>0.87*AO27</f>
        <v>2332203278.4976397</v>
      </c>
      <c r="AU27" s="14">
        <f t="shared" ref="AU27:AV27" si="26">0.87*AP27</f>
        <v>3787515805.7082992</v>
      </c>
      <c r="AV27" s="14">
        <f t="shared" si="26"/>
        <v>1923603873.0693219</v>
      </c>
    </row>
    <row r="28" spans="1:61" x14ac:dyDescent="0.35">
      <c r="A28">
        <v>2034</v>
      </c>
      <c r="B28" s="11">
        <v>0.2371498167738921</v>
      </c>
      <c r="C28" s="12">
        <f t="shared" si="9"/>
        <v>0.26613851776250913</v>
      </c>
      <c r="D28" s="13">
        <f t="shared" si="10"/>
        <v>0.2371498167738921</v>
      </c>
      <c r="N28">
        <v>2034</v>
      </c>
      <c r="O28">
        <f t="shared" si="11"/>
        <v>10.156899481050397</v>
      </c>
      <c r="P28">
        <f t="shared" si="12"/>
        <v>15.304292970080375</v>
      </c>
      <c r="Q28">
        <f t="shared" si="13"/>
        <v>8.2440287788067774</v>
      </c>
      <c r="AA28">
        <v>2034</v>
      </c>
      <c r="AB28">
        <f t="shared" si="1"/>
        <v>2.4087068509219414</v>
      </c>
      <c r="AC28">
        <f t="shared" si="19"/>
        <v>4.0730618464603792</v>
      </c>
      <c r="AD28">
        <f t="shared" si="20"/>
        <v>1.9550699143727208</v>
      </c>
      <c r="AN28">
        <v>2034</v>
      </c>
      <c r="AO28" s="14">
        <f t="shared" si="4"/>
        <v>2890448221.1063294</v>
      </c>
      <c r="AP28" s="14">
        <f t="shared" si="5"/>
        <v>4887674215.7524548</v>
      </c>
      <c r="AQ28" s="14">
        <f t="shared" si="6"/>
        <v>2346083897.2472649</v>
      </c>
      <c r="AS28">
        <v>2034</v>
      </c>
      <c r="AT28" s="14">
        <f>0.86*AO28</f>
        <v>2485785470.1514435</v>
      </c>
      <c r="AU28" s="14">
        <f t="shared" ref="AU28:AV28" si="27">0.86*AP28</f>
        <v>4203399825.547111</v>
      </c>
      <c r="AV28" s="14">
        <f t="shared" si="27"/>
        <v>2017632151.6326478</v>
      </c>
    </row>
    <row r="29" spans="1:61" x14ac:dyDescent="0.35">
      <c r="A29">
        <v>2035</v>
      </c>
      <c r="B29" s="11">
        <v>0.24751326376691121</v>
      </c>
      <c r="C29" s="12">
        <f t="shared" si="9"/>
        <v>0.28024385920392209</v>
      </c>
      <c r="D29" s="13">
        <f t="shared" si="10"/>
        <v>0.24751326376691121</v>
      </c>
      <c r="N29">
        <v>2035</v>
      </c>
      <c r="O29">
        <f t="shared" si="11"/>
        <v>10.493092853873165</v>
      </c>
      <c r="P29">
        <f t="shared" si="12"/>
        <v>16.317437164699697</v>
      </c>
      <c r="Q29">
        <f t="shared" si="13"/>
        <v>8.3812918579739115</v>
      </c>
      <c r="AA29">
        <v>2035</v>
      </c>
      <c r="AB29">
        <f t="shared" si="1"/>
        <v>2.5971796592713998</v>
      </c>
      <c r="AC29">
        <f t="shared" si="19"/>
        <v>4.5728615633529479</v>
      </c>
      <c r="AD29">
        <f t="shared" si="20"/>
        <v>2.074480902350162</v>
      </c>
      <c r="AN29">
        <v>2035</v>
      </c>
      <c r="AO29" s="14">
        <f t="shared" si="4"/>
        <v>3116615591.12568</v>
      </c>
      <c r="AP29" s="14">
        <f t="shared" si="5"/>
        <v>5487433876.0235376</v>
      </c>
      <c r="AQ29" s="14">
        <f t="shared" si="6"/>
        <v>2489377082.8201942</v>
      </c>
      <c r="AS29">
        <v>2035</v>
      </c>
      <c r="AT29" s="14">
        <f>0.85*AO29</f>
        <v>2649123252.4568281</v>
      </c>
      <c r="AU29" s="14">
        <f t="shared" ref="AU29:AV29" si="28">0.85*AP29</f>
        <v>4664318794.6200066</v>
      </c>
      <c r="AV29" s="14">
        <f t="shared" si="28"/>
        <v>2115970520.3971651</v>
      </c>
    </row>
    <row r="30" spans="1:61" x14ac:dyDescent="0.35">
      <c r="A30">
        <v>2036</v>
      </c>
      <c r="B30" s="11">
        <v>0.25832959339352524</v>
      </c>
      <c r="C30" s="12">
        <f t="shared" si="9"/>
        <v>0.29509678374172993</v>
      </c>
      <c r="D30" s="13">
        <f t="shared" si="10"/>
        <v>0.25832959339352524</v>
      </c>
      <c r="N30">
        <v>2036</v>
      </c>
      <c r="O30">
        <f t="shared" si="11"/>
        <v>10.840414227336366</v>
      </c>
      <c r="P30">
        <f t="shared" si="12"/>
        <v>17.397651505002816</v>
      </c>
      <c r="Q30">
        <f t="shared" si="13"/>
        <v>8.5208403674091784</v>
      </c>
      <c r="AA30">
        <v>2036</v>
      </c>
      <c r="AB30">
        <f t="shared" si="1"/>
        <v>2.8003997995651893</v>
      </c>
      <c r="AC30">
        <f t="shared" si="19"/>
        <v>5.1339910037857983</v>
      </c>
      <c r="AD30">
        <f t="shared" si="20"/>
        <v>2.2011852274839492</v>
      </c>
      <c r="AN30">
        <v>2036</v>
      </c>
      <c r="AO30" s="14">
        <f t="shared" si="4"/>
        <v>3360479759.4782271</v>
      </c>
      <c r="AP30" s="14">
        <f t="shared" si="5"/>
        <v>6160789204.5429583</v>
      </c>
      <c r="AQ30" s="14">
        <f t="shared" si="6"/>
        <v>2641422272.9807391</v>
      </c>
      <c r="AS30">
        <v>2036</v>
      </c>
      <c r="AT30" s="14">
        <f>0.84*AO30</f>
        <v>2822802997.9617109</v>
      </c>
      <c r="AU30" s="14">
        <f t="shared" ref="AU30:AV30" si="29">0.84*AP30</f>
        <v>5175062931.8160849</v>
      </c>
      <c r="AV30" s="14">
        <f t="shared" si="29"/>
        <v>2218794709.3038206</v>
      </c>
      <c r="BH30" t="s">
        <v>80</v>
      </c>
      <c r="BI30" t="s">
        <v>81</v>
      </c>
    </row>
    <row r="31" spans="1:61" x14ac:dyDescent="0.35">
      <c r="A31">
        <v>2037</v>
      </c>
      <c r="B31" s="11">
        <v>0.26961859662482229</v>
      </c>
      <c r="C31" s="12">
        <f t="shared" si="9"/>
        <v>0.3107369132800416</v>
      </c>
      <c r="D31" s="13">
        <f t="shared" si="10"/>
        <v>0.26961859662482229</v>
      </c>
      <c r="N31">
        <v>2037</v>
      </c>
      <c r="O31">
        <f t="shared" si="11"/>
        <v>11.199231938261198</v>
      </c>
      <c r="P31">
        <f t="shared" si="12"/>
        <v>18.549376034634005</v>
      </c>
      <c r="Q31">
        <f t="shared" si="13"/>
        <v>8.662712359526541</v>
      </c>
      <c r="AA31">
        <v>2037</v>
      </c>
      <c r="AB31">
        <f t="shared" si="1"/>
        <v>3.0195211984698727</v>
      </c>
      <c r="AC31">
        <f t="shared" si="19"/>
        <v>5.7639758522729485</v>
      </c>
      <c r="AD31">
        <f t="shared" si="20"/>
        <v>2.3356283493400491</v>
      </c>
      <c r="AN31">
        <v>2037</v>
      </c>
      <c r="AO31" s="14">
        <f t="shared" si="4"/>
        <v>3623425438.163847</v>
      </c>
      <c r="AP31" s="14">
        <f t="shared" si="5"/>
        <v>6916771022.7275381</v>
      </c>
      <c r="AQ31" s="14">
        <f t="shared" si="6"/>
        <v>2802754019.2080588</v>
      </c>
      <c r="AS31">
        <v>2037</v>
      </c>
      <c r="AT31" s="14">
        <f>0.83*AO31</f>
        <v>3007443113.675993</v>
      </c>
      <c r="AU31" s="14">
        <f t="shared" ref="AU31:AV31" si="30">0.83*AP31</f>
        <v>5740919948.8638563</v>
      </c>
      <c r="AV31" s="14">
        <f t="shared" si="30"/>
        <v>2326285835.9426889</v>
      </c>
      <c r="BI31" t="s">
        <v>82</v>
      </c>
    </row>
    <row r="32" spans="1:61" x14ac:dyDescent="0.35">
      <c r="A32">
        <v>2038</v>
      </c>
      <c r="B32" s="11">
        <v>0.28140092929732707</v>
      </c>
      <c r="C32" s="12">
        <f t="shared" si="9"/>
        <v>0.32720596968388377</v>
      </c>
      <c r="D32" s="13">
        <f t="shared" si="10"/>
        <v>0.28140092929732707</v>
      </c>
      <c r="N32">
        <v>2038</v>
      </c>
      <c r="O32">
        <f t="shared" si="11"/>
        <v>11.569926515417642</v>
      </c>
      <c r="P32">
        <f t="shared" si="12"/>
        <v>19.777344728126778</v>
      </c>
      <c r="Q32">
        <f t="shared" si="13"/>
        <v>8.8069465203126587</v>
      </c>
      <c r="AA32">
        <v>2038</v>
      </c>
      <c r="AB32">
        <f t="shared" si="1"/>
        <v>3.2557880733403097</v>
      </c>
      <c r="AC32">
        <f t="shared" si="19"/>
        <v>6.4712652595391686</v>
      </c>
      <c r="AD32">
        <f t="shared" si="20"/>
        <v>2.4782829350878433</v>
      </c>
      <c r="AN32">
        <v>2038</v>
      </c>
      <c r="AO32" s="14">
        <f t="shared" si="4"/>
        <v>3906945688.0083718</v>
      </c>
      <c r="AP32" s="14">
        <f t="shared" si="5"/>
        <v>7765518311.4470024</v>
      </c>
      <c r="AQ32" s="14">
        <f t="shared" si="6"/>
        <v>2973939522.105412</v>
      </c>
      <c r="AS32">
        <v>2038</v>
      </c>
      <c r="AT32" s="14">
        <f>0.82*AO32</f>
        <v>3203695464.1668649</v>
      </c>
      <c r="AU32" s="14">
        <f t="shared" ref="AU32:AV32" si="31">0.82*AP32</f>
        <v>6367725015.3865414</v>
      </c>
      <c r="AV32" s="14">
        <f t="shared" si="31"/>
        <v>2438630408.1264377</v>
      </c>
    </row>
    <row r="33" spans="1:48" x14ac:dyDescent="0.35">
      <c r="A33">
        <v>2039</v>
      </c>
      <c r="B33" s="11">
        <v>0.29369814990762028</v>
      </c>
      <c r="C33" s="12">
        <f t="shared" si="9"/>
        <v>0.34454788607712961</v>
      </c>
      <c r="D33" s="13">
        <f t="shared" si="10"/>
        <v>0.29369814990762028</v>
      </c>
      <c r="N33">
        <v>2039</v>
      </c>
      <c r="O33">
        <f t="shared" si="11"/>
        <v>11.952891083077965</v>
      </c>
      <c r="P33">
        <f t="shared" si="12"/>
        <v>21.08660494912877</v>
      </c>
      <c r="Q33">
        <f t="shared" si="13"/>
        <v>8.9535821798758644</v>
      </c>
      <c r="AA33">
        <v>2039</v>
      </c>
      <c r="AB33">
        <f t="shared" si="1"/>
        <v>3.51054199714729</v>
      </c>
      <c r="AC33">
        <f t="shared" si="19"/>
        <v>7.2653451597658565</v>
      </c>
      <c r="AD33">
        <f t="shared" si="20"/>
        <v>2.6296505212753791</v>
      </c>
      <c r="AN33">
        <v>2039</v>
      </c>
      <c r="AO33" s="14">
        <f t="shared" si="4"/>
        <v>4212650396.5767479</v>
      </c>
      <c r="AP33" s="14">
        <f t="shared" si="5"/>
        <v>8718414191.7190285</v>
      </c>
      <c r="AQ33" s="14">
        <f t="shared" si="6"/>
        <v>3155580625.5304551</v>
      </c>
      <c r="AS33">
        <v>2039</v>
      </c>
      <c r="AT33" s="14">
        <f>0.81*AO33</f>
        <v>3412246821.2271662</v>
      </c>
      <c r="AU33" s="14">
        <f t="shared" ref="AU33:AV33" si="32">0.81*AP33</f>
        <v>7061915495.2924137</v>
      </c>
      <c r="AV33" s="14">
        <f t="shared" si="32"/>
        <v>2556020306.6796689</v>
      </c>
    </row>
    <row r="34" spans="1:48" x14ac:dyDescent="0.35">
      <c r="A34">
        <v>2040</v>
      </c>
      <c r="B34" s="11">
        <v>0.30653275905858329</v>
      </c>
      <c r="C34" s="12">
        <f t="shared" si="9"/>
        <v>0.36280892403921744</v>
      </c>
      <c r="D34" s="13">
        <v>0.3</v>
      </c>
      <c r="N34">
        <v>2040</v>
      </c>
      <c r="O34">
        <f t="shared" si="11"/>
        <v>12.348531777927844</v>
      </c>
      <c r="P34">
        <f t="shared" si="12"/>
        <v>22.482538196761094</v>
      </c>
      <c r="Q34">
        <f t="shared" si="13"/>
        <v>9.1026593231707977</v>
      </c>
      <c r="AA34">
        <v>2040</v>
      </c>
      <c r="AB34">
        <f t="shared" si="1"/>
        <v>3.7852295162108152</v>
      </c>
      <c r="AC34">
        <f t="shared" si="19"/>
        <v>8.1568654928375004</v>
      </c>
      <c r="AD34">
        <f t="shared" si="20"/>
        <v>2.7307977969512391</v>
      </c>
      <c r="AN34">
        <v>2040</v>
      </c>
      <c r="AO34" s="14">
        <f t="shared" si="4"/>
        <v>4542275419.4529781</v>
      </c>
      <c r="AP34" s="14">
        <f t="shared" si="5"/>
        <v>9788238591.4050007</v>
      </c>
      <c r="AQ34" s="14">
        <f t="shared" si="6"/>
        <v>3276957356.3414869</v>
      </c>
      <c r="AS34">
        <v>2040</v>
      </c>
      <c r="AT34" s="14">
        <f>0.8*AO34</f>
        <v>3633820335.5623827</v>
      </c>
      <c r="AU34" s="14">
        <f t="shared" ref="AU34:AV34" si="33">0.8*AP34</f>
        <v>7830590873.1240005</v>
      </c>
      <c r="AV34" s="14">
        <f t="shared" si="33"/>
        <v>2621565885.0731897</v>
      </c>
    </row>
    <row r="35" spans="1:48" x14ac:dyDescent="0.35">
      <c r="A35">
        <v>2041</v>
      </c>
      <c r="B35" s="11">
        <v>0.31992824062944342</v>
      </c>
      <c r="C35" s="12">
        <f t="shared" si="9"/>
        <v>0.38203779701329593</v>
      </c>
      <c r="D35" s="13">
        <v>0.3</v>
      </c>
      <c r="N35">
        <v>2041</v>
      </c>
      <c r="O35">
        <f t="shared" si="11"/>
        <v>12.757268179777254</v>
      </c>
      <c r="P35">
        <f t="shared" si="12"/>
        <v>23.970882225386681</v>
      </c>
      <c r="Q35">
        <f t="shared" si="13"/>
        <v>9.2542186009015914</v>
      </c>
      <c r="AA35">
        <v>2041</v>
      </c>
      <c r="AB35">
        <f t="shared" si="1"/>
        <v>4.0814103639941193</v>
      </c>
      <c r="AC35">
        <f t="shared" si="19"/>
        <v>9.1577830378518996</v>
      </c>
      <c r="AD35">
        <f t="shared" si="20"/>
        <v>2.7762655802704774</v>
      </c>
      <c r="AN35">
        <v>2041</v>
      </c>
      <c r="AO35" s="14">
        <f t="shared" si="4"/>
        <v>4897692436.792943</v>
      </c>
      <c r="AP35" s="14">
        <f t="shared" si="5"/>
        <v>10989339645.422279</v>
      </c>
      <c r="AQ35" s="14">
        <f t="shared" si="6"/>
        <v>3331518696.324573</v>
      </c>
      <c r="AS35">
        <v>2041</v>
      </c>
      <c r="AT35" s="14">
        <f>0.79*AO35</f>
        <v>3869177025.0664253</v>
      </c>
      <c r="AU35" s="14">
        <f t="shared" ref="AU35:AV35" si="34">0.79*AP35</f>
        <v>8681578319.8836002</v>
      </c>
      <c r="AV35" s="14">
        <f t="shared" si="34"/>
        <v>2631899770.0964127</v>
      </c>
    </row>
    <row r="36" spans="1:48" x14ac:dyDescent="0.35">
      <c r="A36">
        <v>2042</v>
      </c>
      <c r="B36" s="11">
        <v>0.33390910474495006</v>
      </c>
      <c r="C36" s="12">
        <f t="shared" si="9"/>
        <v>0.4022858002550006</v>
      </c>
      <c r="D36" s="13">
        <v>0.3</v>
      </c>
      <c r="N36">
        <v>2042</v>
      </c>
      <c r="O36">
        <f t="shared" si="11"/>
        <v>13.17953375652788</v>
      </c>
      <c r="P36">
        <f t="shared" si="12"/>
        <v>25.557754628707279</v>
      </c>
      <c r="Q36">
        <f t="shared" si="13"/>
        <v>9.4083013406066041</v>
      </c>
      <c r="AA36">
        <v>2042</v>
      </c>
      <c r="AB36">
        <f t="shared" si="1"/>
        <v>4.4007663175980731</v>
      </c>
      <c r="AC36">
        <f t="shared" si="19"/>
        <v>10.281521773530454</v>
      </c>
      <c r="AD36">
        <f t="shared" si="20"/>
        <v>2.8224904021819812</v>
      </c>
      <c r="AN36">
        <v>2042</v>
      </c>
      <c r="AO36" s="14">
        <f t="shared" si="4"/>
        <v>5280919581.1176882</v>
      </c>
      <c r="AP36" s="14">
        <f t="shared" si="5"/>
        <v>12337826128.236544</v>
      </c>
      <c r="AQ36" s="14">
        <f t="shared" si="6"/>
        <v>3386988482.6183777</v>
      </c>
      <c r="AS36">
        <v>2042</v>
      </c>
      <c r="AT36" s="14">
        <f>0.78*AO36</f>
        <v>4119117273.2717967</v>
      </c>
      <c r="AU36" s="14">
        <f t="shared" ref="AU36:AV36" si="35">0.78*AP36</f>
        <v>9623504380.0245037</v>
      </c>
      <c r="AV36" s="14">
        <f t="shared" si="35"/>
        <v>2641851016.4423347</v>
      </c>
    </row>
    <row r="37" spans="1:48" x14ac:dyDescent="0.35">
      <c r="A37">
        <v>2043</v>
      </c>
      <c r="B37" s="11">
        <v>0.34850093262230447</v>
      </c>
      <c r="C37" s="12">
        <f t="shared" si="9"/>
        <v>0.42360694766851559</v>
      </c>
      <c r="D37" s="13">
        <v>0.3</v>
      </c>
      <c r="N37">
        <v>2043</v>
      </c>
      <c r="O37">
        <f t="shared" si="11"/>
        <v>13.615776323868952</v>
      </c>
      <c r="P37">
        <f t="shared" si="12"/>
        <v>27.2496779851277</v>
      </c>
      <c r="Q37">
        <f t="shared" si="13"/>
        <v>9.5649495579277044</v>
      </c>
      <c r="AA37">
        <v>2043</v>
      </c>
      <c r="AB37">
        <f t="shared" si="1"/>
        <v>4.7451107472450218</v>
      </c>
      <c r="AC37">
        <f t="shared" si="19"/>
        <v>11.543152916229891</v>
      </c>
      <c r="AD37">
        <f t="shared" si="20"/>
        <v>2.8694848673783113</v>
      </c>
      <c r="AN37">
        <v>2043</v>
      </c>
      <c r="AO37" s="14">
        <f t="shared" si="4"/>
        <v>5694132896.694026</v>
      </c>
      <c r="AP37" s="14">
        <f t="shared" si="5"/>
        <v>13851783499.47587</v>
      </c>
      <c r="AQ37" s="14">
        <f t="shared" si="6"/>
        <v>3443381840.8539734</v>
      </c>
      <c r="AS37">
        <v>2043</v>
      </c>
      <c r="AT37" s="14">
        <f>0.77*AO37</f>
        <v>4384482330.4544001</v>
      </c>
      <c r="AU37" s="14">
        <f t="shared" ref="AU37:AV37" si="36">0.77*AP37</f>
        <v>10665873294.59642</v>
      </c>
      <c r="AV37" s="14">
        <f t="shared" si="36"/>
        <v>2651404017.4575596</v>
      </c>
    </row>
    <row r="38" spans="1:48" x14ac:dyDescent="0.35">
      <c r="A38">
        <v>2044</v>
      </c>
      <c r="B38" s="11">
        <v>0.36373042337789918</v>
      </c>
      <c r="C38" s="12">
        <f t="shared" si="9"/>
        <v>0.44605811589494687</v>
      </c>
      <c r="D38" s="13">
        <v>0.3</v>
      </c>
      <c r="N38">
        <v>2044</v>
      </c>
      <c r="O38">
        <f t="shared" si="11"/>
        <v>14.066458520189013</v>
      </c>
      <c r="P38">
        <f t="shared" si="12"/>
        <v>29.053606667743153</v>
      </c>
      <c r="Q38">
        <f t="shared" si="13"/>
        <v>9.7242059680672011</v>
      </c>
      <c r="AA38">
        <v>2044</v>
      </c>
      <c r="AB38">
        <f t="shared" si="1"/>
        <v>5.116398912976007</v>
      </c>
      <c r="AC38">
        <f t="shared" si="19"/>
        <v>12.959597050166376</v>
      </c>
      <c r="AD38">
        <f t="shared" si="20"/>
        <v>2.9172617904201603</v>
      </c>
      <c r="AN38">
        <v>2044</v>
      </c>
      <c r="AO38" s="14">
        <f t="shared" si="4"/>
        <v>6139678695.571208</v>
      </c>
      <c r="AP38" s="14">
        <f t="shared" si="5"/>
        <v>15551516460.199652</v>
      </c>
      <c r="AQ38" s="14">
        <f t="shared" si="6"/>
        <v>3500714148.5041924</v>
      </c>
      <c r="AS38">
        <v>2044</v>
      </c>
      <c r="AT38" s="14">
        <f>0.76*AO38</f>
        <v>4666155808.6341181</v>
      </c>
      <c r="AU38" s="14">
        <f t="shared" ref="AU38:AV38" si="37">0.76*AP38</f>
        <v>11819152509.751736</v>
      </c>
      <c r="AV38" s="14">
        <f t="shared" si="37"/>
        <v>2660542752.8631864</v>
      </c>
    </row>
    <row r="39" spans="1:48" x14ac:dyDescent="0.35">
      <c r="A39">
        <v>2045</v>
      </c>
      <c r="B39" s="11">
        <v>0.37962544287951339</v>
      </c>
      <c r="C39" s="12">
        <f t="shared" si="9"/>
        <v>0.46969919603737903</v>
      </c>
      <c r="D39" s="13">
        <v>0.3</v>
      </c>
      <c r="N39">
        <v>2045</v>
      </c>
      <c r="O39">
        <f t="shared" si="11"/>
        <v>14.532058297207268</v>
      </c>
      <c r="P39">
        <f t="shared" si="12"/>
        <v>30.97695542914775</v>
      </c>
      <c r="Q39">
        <f t="shared" si="13"/>
        <v>9.8861139974355208</v>
      </c>
      <c r="AA39">
        <v>2045</v>
      </c>
      <c r="AB39">
        <f t="shared" si="1"/>
        <v>5.5167390670282161</v>
      </c>
      <c r="AC39">
        <f t="shared" si="19"/>
        <v>14.549851060756422</v>
      </c>
      <c r="AD39">
        <f t="shared" si="20"/>
        <v>2.9658341992306561</v>
      </c>
      <c r="AN39">
        <v>2045</v>
      </c>
      <c r="AO39" s="14">
        <f t="shared" si="4"/>
        <v>6620086880.4338598</v>
      </c>
      <c r="AP39" s="14">
        <f t="shared" si="5"/>
        <v>17459821272.907707</v>
      </c>
      <c r="AQ39" s="14">
        <f t="shared" si="6"/>
        <v>3559001039.0767875</v>
      </c>
      <c r="AS39">
        <v>2045</v>
      </c>
      <c r="AT39" s="14">
        <f>0.75*AO39</f>
        <v>4965065160.3253946</v>
      </c>
      <c r="AU39" s="14">
        <f t="shared" ref="AU39:AV39" si="38">0.75*AP39</f>
        <v>13094865954.68078</v>
      </c>
      <c r="AV39" s="14">
        <f t="shared" si="38"/>
        <v>2669250779.3075905</v>
      </c>
    </row>
    <row r="40" spans="1:48" x14ac:dyDescent="0.35">
      <c r="A40">
        <v>2046</v>
      </c>
      <c r="B40" s="11">
        <v>0.39621507473334816</v>
      </c>
      <c r="C40" s="12">
        <f t="shared" si="9"/>
        <v>0.4945932534273601</v>
      </c>
      <c r="D40" s="13">
        <v>0.3</v>
      </c>
      <c r="N40">
        <v>2046</v>
      </c>
      <c r="O40">
        <f t="shared" si="11"/>
        <v>15.013069426844828</v>
      </c>
      <c r="P40">
        <f t="shared" si="12"/>
        <v>33.027629878557335</v>
      </c>
      <c r="Q40">
        <f t="shared" si="13"/>
        <v>10.050717795492822</v>
      </c>
      <c r="AA40">
        <v>2046</v>
      </c>
      <c r="AB40">
        <f t="shared" si="1"/>
        <v>5.9484044249342682</v>
      </c>
      <c r="AC40">
        <f t="shared" si="19"/>
        <v>16.33524291463036</v>
      </c>
      <c r="AD40">
        <f t="shared" si="20"/>
        <v>3.0152153386478466</v>
      </c>
      <c r="AN40">
        <v>2046</v>
      </c>
      <c r="AO40" s="14">
        <f t="shared" si="4"/>
        <v>7138085309.9211216</v>
      </c>
      <c r="AP40" s="14">
        <f t="shared" si="5"/>
        <v>19602291497.556431</v>
      </c>
      <c r="AQ40" s="14">
        <f t="shared" si="6"/>
        <v>3618258406.3774161</v>
      </c>
      <c r="AS40">
        <v>2046</v>
      </c>
      <c r="AT40" s="14">
        <f>0.74*AO40</f>
        <v>5282183129.34163</v>
      </c>
      <c r="AU40" s="14">
        <f t="shared" ref="AU40:AV40" si="39">0.74*AP40</f>
        <v>14505695708.191759</v>
      </c>
      <c r="AV40" s="14">
        <f t="shared" si="39"/>
        <v>2677511220.7192879</v>
      </c>
    </row>
    <row r="41" spans="1:48" x14ac:dyDescent="0.35">
      <c r="A41">
        <v>2047</v>
      </c>
      <c r="B41" s="11">
        <v>0.4135296734991955</v>
      </c>
      <c r="C41" s="12">
        <f t="shared" si="9"/>
        <v>0.52080669585901018</v>
      </c>
      <c r="D41" s="13">
        <v>0.3</v>
      </c>
      <c r="N41">
        <v>2047</v>
      </c>
      <c r="O41">
        <f t="shared" si="11"/>
        <v>15.510002024873391</v>
      </c>
      <c r="P41">
        <f t="shared" si="12"/>
        <v>35.214058976517833</v>
      </c>
      <c r="Q41">
        <f t="shared" si="13"/>
        <v>10.218062246787779</v>
      </c>
      <c r="AA41">
        <v>2047</v>
      </c>
      <c r="AB41">
        <f t="shared" si="1"/>
        <v>6.413846073317754</v>
      </c>
      <c r="AC41">
        <f t="shared" si="19"/>
        <v>18.339717703344572</v>
      </c>
      <c r="AD41">
        <f t="shared" si="20"/>
        <v>3.0654186740363336</v>
      </c>
      <c r="AN41">
        <v>2047</v>
      </c>
      <c r="AO41" s="14">
        <f t="shared" si="4"/>
        <v>7696615287.9813051</v>
      </c>
      <c r="AP41" s="14">
        <f t="shared" si="5"/>
        <v>22007661244.013485</v>
      </c>
      <c r="AQ41" s="14">
        <f t="shared" si="6"/>
        <v>3678502408.8436003</v>
      </c>
      <c r="AS41">
        <v>2047</v>
      </c>
      <c r="AT41" s="14">
        <f>0.73*AO41</f>
        <v>5618529160.2263527</v>
      </c>
      <c r="AU41" s="14">
        <f t="shared" ref="AU41:AV41" si="40">0.73*AP41</f>
        <v>16065592708.129843</v>
      </c>
      <c r="AV41" s="14">
        <f t="shared" si="40"/>
        <v>2685306758.4558282</v>
      </c>
    </row>
    <row r="42" spans="1:48" x14ac:dyDescent="0.35">
      <c r="A42">
        <v>2048</v>
      </c>
      <c r="B42" s="11">
        <v>0.43160092023111041</v>
      </c>
      <c r="C42" s="12">
        <f t="shared" si="9"/>
        <v>0.54840945073953773</v>
      </c>
      <c r="D42" s="13">
        <v>0.3</v>
      </c>
      <c r="N42">
        <v>2048</v>
      </c>
      <c r="O42">
        <f t="shared" si="11"/>
        <v>16.023383091896697</v>
      </c>
      <c r="P42">
        <f t="shared" si="12"/>
        <v>37.545229680763313</v>
      </c>
      <c r="Q42">
        <f t="shared" si="13"/>
        <v>10.388192983196797</v>
      </c>
      <c r="AA42">
        <v>2048</v>
      </c>
      <c r="AB42">
        <f t="shared" si="1"/>
        <v>6.9157068876782297</v>
      </c>
      <c r="AC42">
        <f t="shared" si="19"/>
        <v>20.590158787117197</v>
      </c>
      <c r="AD42">
        <f t="shared" si="20"/>
        <v>3.1164578949590389</v>
      </c>
      <c r="AN42">
        <v>2048</v>
      </c>
      <c r="AO42" s="14">
        <f t="shared" si="4"/>
        <v>8298848265.2138758</v>
      </c>
      <c r="AP42" s="14">
        <f t="shared" si="5"/>
        <v>24708190544.540638</v>
      </c>
      <c r="AQ42" s="14">
        <f t="shared" si="6"/>
        <v>3739749473.9508467</v>
      </c>
      <c r="AS42">
        <v>2048</v>
      </c>
      <c r="AT42" s="14">
        <f>0.72*AO42</f>
        <v>5975170750.95399</v>
      </c>
      <c r="AU42" s="14">
        <f t="shared" ref="AU42:AV42" si="41">0.72*AP42</f>
        <v>17789897192.06926</v>
      </c>
      <c r="AV42" s="14">
        <f t="shared" si="41"/>
        <v>2692619621.2446094</v>
      </c>
    </row>
    <row r="43" spans="1:48" x14ac:dyDescent="0.35">
      <c r="A43">
        <v>2049</v>
      </c>
      <c r="B43" s="11">
        <v>0.45046188044520996</v>
      </c>
      <c r="C43" s="12">
        <f t="shared" si="9"/>
        <v>0.5774751516287332</v>
      </c>
      <c r="D43" s="13">
        <v>0.3</v>
      </c>
      <c r="N43">
        <v>2049</v>
      </c>
      <c r="O43">
        <f t="shared" si="11"/>
        <v>16.553757072238476</v>
      </c>
      <c r="P43">
        <f t="shared" si="12"/>
        <v>40.030723885629847</v>
      </c>
      <c r="Q43">
        <f t="shared" si="13"/>
        <v>10.561156396367025</v>
      </c>
      <c r="AA43">
        <v>2049</v>
      </c>
      <c r="AB43">
        <f t="shared" si="1"/>
        <v>7.4568365391937368</v>
      </c>
      <c r="AC43">
        <f t="shared" si="19"/>
        <v>23.116748345662046</v>
      </c>
      <c r="AD43">
        <f t="shared" si="20"/>
        <v>3.1683469189101072</v>
      </c>
      <c r="AN43">
        <v>2049</v>
      </c>
      <c r="AO43" s="14">
        <f t="shared" si="4"/>
        <v>8948203847.0324841</v>
      </c>
      <c r="AP43" s="14">
        <f t="shared" si="5"/>
        <v>27740098014.794456</v>
      </c>
      <c r="AQ43" s="14">
        <f t="shared" si="6"/>
        <v>3802016302.6921287</v>
      </c>
      <c r="AS43">
        <v>2049</v>
      </c>
      <c r="AT43" s="14">
        <f>0.71*AO43</f>
        <v>6353224731.3930635</v>
      </c>
      <c r="AU43" s="14">
        <f t="shared" ref="AU43:AV43" si="42">0.71*AP43</f>
        <v>19695469590.504063</v>
      </c>
      <c r="AV43" s="14">
        <f t="shared" si="42"/>
        <v>2699431574.9114113</v>
      </c>
    </row>
    <row r="44" spans="1:48" x14ac:dyDescent="0.35">
      <c r="A44">
        <v>2050</v>
      </c>
      <c r="B44" s="11">
        <v>0.47014706462066563</v>
      </c>
      <c r="C44" s="12">
        <v>0.6</v>
      </c>
      <c r="D44" s="13">
        <v>0.3</v>
      </c>
      <c r="N44">
        <v>2050</v>
      </c>
      <c r="O44">
        <f t="shared" si="11"/>
        <v>17.101686431329568</v>
      </c>
      <c r="P44">
        <f t="shared" si="12"/>
        <v>42.680757806858544</v>
      </c>
      <c r="Q44">
        <f t="shared" si="13"/>
        <v>10.736999650366537</v>
      </c>
      <c r="AA44">
        <v>2050</v>
      </c>
      <c r="AB44">
        <f t="shared" si="1"/>
        <v>8.040307675752663</v>
      </c>
      <c r="AC44">
        <f t="shared" si="19"/>
        <v>25.608454684115127</v>
      </c>
      <c r="AD44">
        <f t="shared" si="20"/>
        <v>3.221099895109961</v>
      </c>
      <c r="AN44">
        <v>2050</v>
      </c>
      <c r="AO44" s="14">
        <f t="shared" si="4"/>
        <v>9648369210.9031963</v>
      </c>
      <c r="AP44" s="14">
        <f t="shared" si="5"/>
        <v>30730145620.938152</v>
      </c>
      <c r="AQ44" s="14">
        <f t="shared" si="6"/>
        <v>3865319874.1319532</v>
      </c>
      <c r="AS44">
        <v>2050</v>
      </c>
      <c r="AT44" s="14">
        <f>0.7*AO44</f>
        <v>6753858447.6322374</v>
      </c>
      <c r="AU44" s="14">
        <f>0.8*AP44</f>
        <v>24584116496.750523</v>
      </c>
      <c r="AV44" s="14">
        <f>0.8*AQ44</f>
        <v>3092255899.305563</v>
      </c>
    </row>
    <row r="46" spans="1:48" x14ac:dyDescent="0.35">
      <c r="AS46" t="s">
        <v>71</v>
      </c>
      <c r="AT46" s="11">
        <f>AT44/AT15</f>
        <v>6.2847231434850181</v>
      </c>
      <c r="AU46" s="11">
        <f t="shared" ref="AU46:AV46" si="43">AU44/AU15</f>
        <v>22.876459005951755</v>
      </c>
      <c r="AV46" s="11">
        <f t="shared" si="43"/>
        <v>2.8774621746413556</v>
      </c>
    </row>
    <row r="47" spans="1:48" x14ac:dyDescent="0.35">
      <c r="A47" t="s">
        <v>58</v>
      </c>
      <c r="B47" t="s">
        <v>63</v>
      </c>
      <c r="N47" t="s">
        <v>66</v>
      </c>
      <c r="O47" t="s">
        <v>67</v>
      </c>
      <c r="AA47" t="s">
        <v>71</v>
      </c>
      <c r="AB47" s="11">
        <f>AB44/AB15</f>
        <v>8.8883941600716678</v>
      </c>
      <c r="AC47" s="11">
        <f t="shared" ref="AC47:AD47" si="44">AC44/AC15</f>
        <v>28.309618019865294</v>
      </c>
      <c r="AD47" s="11">
        <f t="shared" si="44"/>
        <v>3.5608594411186774</v>
      </c>
    </row>
    <row r="48" spans="1:48" x14ac:dyDescent="0.35">
      <c r="A48" t="s">
        <v>60</v>
      </c>
      <c r="B48" t="s">
        <v>64</v>
      </c>
      <c r="N48" t="s">
        <v>60</v>
      </c>
      <c r="O48" t="s">
        <v>68</v>
      </c>
    </row>
    <row r="49" spans="1:26" x14ac:dyDescent="0.35">
      <c r="A49" t="s">
        <v>61</v>
      </c>
      <c r="B49" t="s">
        <v>65</v>
      </c>
      <c r="N49" t="s">
        <v>61</v>
      </c>
      <c r="O49" t="s">
        <v>69</v>
      </c>
    </row>
    <row r="55" spans="1:26" x14ac:dyDescent="0.35">
      <c r="A55" s="27" t="s">
        <v>123</v>
      </c>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x14ac:dyDescent="0.3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x14ac:dyDescent="0.35">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x14ac:dyDescent="0.35">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x14ac:dyDescent="0.35">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x14ac:dyDescent="0.35">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x14ac:dyDescent="0.35">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x14ac:dyDescent="0.35">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x14ac:dyDescent="0.35">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x14ac:dyDescent="0.35">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sheetData>
  <mergeCells count="1">
    <mergeCell ref="A55:Z64"/>
  </mergeCells>
  <hyperlinks>
    <hyperlink ref="AO7" r:id="rId1" xr:uid="{A8B28D86-A43E-4B29-BBBC-7F4DA3C46103}"/>
  </hyperlinks>
  <pageMargins left="0.7" right="0.7" top="0.75" bottom="0.75" header="0.3" footer="0.3"/>
  <pageSetup orientation="portrait" horizontalDpi="1200" verticalDpi="12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F10EC-0F2C-45DD-82C5-9ED42D73D3B6}">
  <dimension ref="A1:T24"/>
  <sheetViews>
    <sheetView workbookViewId="0">
      <selection activeCell="B13" sqref="B13:T24"/>
    </sheetView>
  </sheetViews>
  <sheetFormatPr defaultRowHeight="14.5" x14ac:dyDescent="0.35"/>
  <sheetData>
    <row r="1" spans="1:20" ht="21" x14ac:dyDescent="0.5">
      <c r="A1" s="17" t="s">
        <v>83</v>
      </c>
    </row>
    <row r="4" spans="1:20" x14ac:dyDescent="0.35">
      <c r="B4" t="s">
        <v>106</v>
      </c>
    </row>
    <row r="5" spans="1:20" x14ac:dyDescent="0.35">
      <c r="C5" t="s">
        <v>107</v>
      </c>
    </row>
    <row r="6" spans="1:20" x14ac:dyDescent="0.35">
      <c r="C6" t="s">
        <v>108</v>
      </c>
    </row>
    <row r="7" spans="1:20" x14ac:dyDescent="0.35">
      <c r="C7" t="s">
        <v>109</v>
      </c>
    </row>
    <row r="9" spans="1:20" x14ac:dyDescent="0.35">
      <c r="C9" s="18" t="s">
        <v>110</v>
      </c>
    </row>
    <row r="13" spans="1:20" x14ac:dyDescent="0.35">
      <c r="B13" s="27" t="s">
        <v>122</v>
      </c>
      <c r="C13" s="27"/>
      <c r="D13" s="27"/>
      <c r="E13" s="27"/>
      <c r="F13" s="27"/>
      <c r="G13" s="27"/>
      <c r="H13" s="27"/>
      <c r="I13" s="27"/>
      <c r="J13" s="27"/>
      <c r="K13" s="27"/>
      <c r="L13" s="27"/>
      <c r="M13" s="27"/>
      <c r="N13" s="27"/>
      <c r="O13" s="27"/>
      <c r="P13" s="27"/>
      <c r="Q13" s="27"/>
      <c r="R13" s="27"/>
      <c r="S13" s="27"/>
      <c r="T13" s="27"/>
    </row>
    <row r="14" spans="1:20" x14ac:dyDescent="0.35">
      <c r="B14" s="27"/>
      <c r="C14" s="27"/>
      <c r="D14" s="27"/>
      <c r="E14" s="27"/>
      <c r="F14" s="27"/>
      <c r="G14" s="27"/>
      <c r="H14" s="27"/>
      <c r="I14" s="27"/>
      <c r="J14" s="27"/>
      <c r="K14" s="27"/>
      <c r="L14" s="27"/>
      <c r="M14" s="27"/>
      <c r="N14" s="27"/>
      <c r="O14" s="27"/>
      <c r="P14" s="27"/>
      <c r="Q14" s="27"/>
      <c r="R14" s="27"/>
      <c r="S14" s="27"/>
      <c r="T14" s="27"/>
    </row>
    <row r="15" spans="1:20" x14ac:dyDescent="0.35">
      <c r="B15" s="27"/>
      <c r="C15" s="27"/>
      <c r="D15" s="27"/>
      <c r="E15" s="27"/>
      <c r="F15" s="27"/>
      <c r="G15" s="27"/>
      <c r="H15" s="27"/>
      <c r="I15" s="27"/>
      <c r="J15" s="27"/>
      <c r="K15" s="27"/>
      <c r="L15" s="27"/>
      <c r="M15" s="27"/>
      <c r="N15" s="27"/>
      <c r="O15" s="27"/>
      <c r="P15" s="27"/>
      <c r="Q15" s="27"/>
      <c r="R15" s="27"/>
      <c r="S15" s="27"/>
      <c r="T15" s="27"/>
    </row>
    <row r="16" spans="1:20" x14ac:dyDescent="0.35">
      <c r="B16" s="27"/>
      <c r="C16" s="27"/>
      <c r="D16" s="27"/>
      <c r="E16" s="27"/>
      <c r="F16" s="27"/>
      <c r="G16" s="27"/>
      <c r="H16" s="27"/>
      <c r="I16" s="27"/>
      <c r="J16" s="27"/>
      <c r="K16" s="27"/>
      <c r="L16" s="27"/>
      <c r="M16" s="27"/>
      <c r="N16" s="27"/>
      <c r="O16" s="27"/>
      <c r="P16" s="27"/>
      <c r="Q16" s="27"/>
      <c r="R16" s="27"/>
      <c r="S16" s="27"/>
      <c r="T16" s="27"/>
    </row>
    <row r="17" spans="2:20" x14ac:dyDescent="0.35">
      <c r="B17" s="27"/>
      <c r="C17" s="27"/>
      <c r="D17" s="27"/>
      <c r="E17" s="27"/>
      <c r="F17" s="27"/>
      <c r="G17" s="27"/>
      <c r="H17" s="27"/>
      <c r="I17" s="27"/>
      <c r="J17" s="27"/>
      <c r="K17" s="27"/>
      <c r="L17" s="27"/>
      <c r="M17" s="27"/>
      <c r="N17" s="27"/>
      <c r="O17" s="27"/>
      <c r="P17" s="27"/>
      <c r="Q17" s="27"/>
      <c r="R17" s="27"/>
      <c r="S17" s="27"/>
      <c r="T17" s="27"/>
    </row>
    <row r="18" spans="2:20" x14ac:dyDescent="0.35">
      <c r="B18" s="27"/>
      <c r="C18" s="27"/>
      <c r="D18" s="27"/>
      <c r="E18" s="27"/>
      <c r="F18" s="27"/>
      <c r="G18" s="27"/>
      <c r="H18" s="27"/>
      <c r="I18" s="27"/>
      <c r="J18" s="27"/>
      <c r="K18" s="27"/>
      <c r="L18" s="27"/>
      <c r="M18" s="27"/>
      <c r="N18" s="27"/>
      <c r="O18" s="27"/>
      <c r="P18" s="27"/>
      <c r="Q18" s="27"/>
      <c r="R18" s="27"/>
      <c r="S18" s="27"/>
      <c r="T18" s="27"/>
    </row>
    <row r="19" spans="2:20" x14ac:dyDescent="0.35">
      <c r="B19" s="27"/>
      <c r="C19" s="27"/>
      <c r="D19" s="27"/>
      <c r="E19" s="27"/>
      <c r="F19" s="27"/>
      <c r="G19" s="27"/>
      <c r="H19" s="27"/>
      <c r="I19" s="27"/>
      <c r="J19" s="27"/>
      <c r="K19" s="27"/>
      <c r="L19" s="27"/>
      <c r="M19" s="27"/>
      <c r="N19" s="27"/>
      <c r="O19" s="27"/>
      <c r="P19" s="27"/>
      <c r="Q19" s="27"/>
      <c r="R19" s="27"/>
      <c r="S19" s="27"/>
      <c r="T19" s="27"/>
    </row>
    <row r="20" spans="2:20" x14ac:dyDescent="0.35">
      <c r="B20" s="27"/>
      <c r="C20" s="27"/>
      <c r="D20" s="27"/>
      <c r="E20" s="27"/>
      <c r="F20" s="27"/>
      <c r="G20" s="27"/>
      <c r="H20" s="27"/>
      <c r="I20" s="27"/>
      <c r="J20" s="27"/>
      <c r="K20" s="27"/>
      <c r="L20" s="27"/>
      <c r="M20" s="27"/>
      <c r="N20" s="27"/>
      <c r="O20" s="27"/>
      <c r="P20" s="27"/>
      <c r="Q20" s="27"/>
      <c r="R20" s="27"/>
      <c r="S20" s="27"/>
      <c r="T20" s="27"/>
    </row>
    <row r="21" spans="2:20" x14ac:dyDescent="0.35">
      <c r="B21" s="27"/>
      <c r="C21" s="27"/>
      <c r="D21" s="27"/>
      <c r="E21" s="27"/>
      <c r="F21" s="27"/>
      <c r="G21" s="27"/>
      <c r="H21" s="27"/>
      <c r="I21" s="27"/>
      <c r="J21" s="27"/>
      <c r="K21" s="27"/>
      <c r="L21" s="27"/>
      <c r="M21" s="27"/>
      <c r="N21" s="27"/>
      <c r="O21" s="27"/>
      <c r="P21" s="27"/>
      <c r="Q21" s="27"/>
      <c r="R21" s="27"/>
      <c r="S21" s="27"/>
      <c r="T21" s="27"/>
    </row>
    <row r="22" spans="2:20" x14ac:dyDescent="0.35">
      <c r="B22" s="27"/>
      <c r="C22" s="27"/>
      <c r="D22" s="27"/>
      <c r="E22" s="27"/>
      <c r="F22" s="27"/>
      <c r="G22" s="27"/>
      <c r="H22" s="27"/>
      <c r="I22" s="27"/>
      <c r="J22" s="27"/>
      <c r="K22" s="27"/>
      <c r="L22" s="27"/>
      <c r="M22" s="27"/>
      <c r="N22" s="27"/>
      <c r="O22" s="27"/>
      <c r="P22" s="27"/>
      <c r="Q22" s="27"/>
      <c r="R22" s="27"/>
      <c r="S22" s="27"/>
      <c r="T22" s="27"/>
    </row>
    <row r="23" spans="2:20" x14ac:dyDescent="0.35">
      <c r="B23" s="27"/>
      <c r="C23" s="27"/>
      <c r="D23" s="27"/>
      <c r="E23" s="27"/>
      <c r="F23" s="27"/>
      <c r="G23" s="27"/>
      <c r="H23" s="27"/>
      <c r="I23" s="27"/>
      <c r="J23" s="27"/>
      <c r="K23" s="27"/>
      <c r="L23" s="27"/>
      <c r="M23" s="27"/>
      <c r="N23" s="27"/>
      <c r="O23" s="27"/>
      <c r="P23" s="27"/>
      <c r="Q23" s="27"/>
      <c r="R23" s="27"/>
      <c r="S23" s="27"/>
      <c r="T23" s="27"/>
    </row>
    <row r="24" spans="2:20" x14ac:dyDescent="0.35">
      <c r="B24" s="27"/>
      <c r="C24" s="27"/>
      <c r="D24" s="27"/>
      <c r="E24" s="27"/>
      <c r="F24" s="27"/>
      <c r="G24" s="27"/>
      <c r="H24" s="27"/>
      <c r="I24" s="27"/>
      <c r="J24" s="27"/>
      <c r="K24" s="27"/>
      <c r="L24" s="27"/>
      <c r="M24" s="27"/>
      <c r="N24" s="27"/>
      <c r="O24" s="27"/>
      <c r="P24" s="27"/>
      <c r="Q24" s="27"/>
      <c r="R24" s="27"/>
      <c r="S24" s="27"/>
      <c r="T24" s="27"/>
    </row>
  </sheetData>
  <mergeCells count="1">
    <mergeCell ref="B13:T24"/>
  </mergeCells>
  <hyperlinks>
    <hyperlink ref="C9" r:id="rId1" display="https://en.wikipedia.org/wiki/Distributed_manufacturing" xr:uid="{5906F2A2-C8BC-488C-BFE3-5B56D298EAC9}"/>
  </hyperlinks>
  <pageMargins left="0.7" right="0.7" top="0.75" bottom="0.75" header="0.3" footer="0.3"/>
  <pageSetup orientation="portrait"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9E55-44E7-43D0-80C4-CEBD00FC0A75}">
  <dimension ref="A1:U32"/>
  <sheetViews>
    <sheetView topLeftCell="A22" workbookViewId="0">
      <selection activeCell="B11" sqref="B11:K26"/>
    </sheetView>
  </sheetViews>
  <sheetFormatPr defaultRowHeight="14.5" x14ac:dyDescent="0.35"/>
  <cols>
    <col min="2" max="2" width="41.54296875" customWidth="1"/>
    <col min="3" max="3" width="15.453125" customWidth="1"/>
    <col min="4" max="4" width="21.7265625" customWidth="1"/>
    <col min="7" max="7" width="36.81640625" customWidth="1"/>
    <col min="8" max="9" width="14.81640625" customWidth="1"/>
  </cols>
  <sheetData>
    <row r="1" spans="1:21" ht="21" x14ac:dyDescent="0.5">
      <c r="A1" s="17" t="s">
        <v>84</v>
      </c>
    </row>
    <row r="3" spans="1:21" x14ac:dyDescent="0.35">
      <c r="B3" s="18" t="s">
        <v>87</v>
      </c>
      <c r="C3" t="s">
        <v>88</v>
      </c>
    </row>
    <row r="6" spans="1:21" x14ac:dyDescent="0.35">
      <c r="B6" t="s">
        <v>89</v>
      </c>
    </row>
    <row r="8" spans="1:21" x14ac:dyDescent="0.35">
      <c r="B8" t="s">
        <v>90</v>
      </c>
    </row>
    <row r="11" spans="1:21" ht="15" customHeight="1" x14ac:dyDescent="0.35">
      <c r="B11" s="28" t="s">
        <v>124</v>
      </c>
      <c r="C11" s="28"/>
      <c r="D11" s="28"/>
      <c r="E11" s="28"/>
      <c r="F11" s="28"/>
      <c r="G11" s="28"/>
      <c r="H11" s="28"/>
      <c r="I11" s="28"/>
      <c r="J11" s="28"/>
      <c r="K11" s="28"/>
      <c r="L11" s="22"/>
      <c r="M11" s="22"/>
      <c r="N11" s="22"/>
      <c r="O11" s="22"/>
      <c r="P11" s="22"/>
      <c r="Q11" s="22"/>
      <c r="R11" s="22"/>
      <c r="S11" s="22"/>
      <c r="T11" s="22"/>
      <c r="U11" s="22"/>
    </row>
    <row r="12" spans="1:21" x14ac:dyDescent="0.35">
      <c r="B12" s="28"/>
      <c r="C12" s="28"/>
      <c r="D12" s="28"/>
      <c r="E12" s="28"/>
      <c r="F12" s="28"/>
      <c r="G12" s="28"/>
      <c r="H12" s="28"/>
      <c r="I12" s="28"/>
      <c r="J12" s="28"/>
      <c r="K12" s="28"/>
      <c r="L12" s="22"/>
      <c r="M12" s="22"/>
      <c r="N12" s="22"/>
      <c r="O12" s="22"/>
      <c r="P12" s="22"/>
      <c r="Q12" s="22"/>
      <c r="R12" s="22"/>
      <c r="S12" s="22"/>
      <c r="T12" s="22"/>
      <c r="U12" s="22"/>
    </row>
    <row r="13" spans="1:21" x14ac:dyDescent="0.35">
      <c r="B13" s="28"/>
      <c r="C13" s="28"/>
      <c r="D13" s="28"/>
      <c r="E13" s="28"/>
      <c r="F13" s="28"/>
      <c r="G13" s="28"/>
      <c r="H13" s="28"/>
      <c r="I13" s="28"/>
      <c r="J13" s="28"/>
      <c r="K13" s="28"/>
      <c r="L13" s="22"/>
      <c r="M13" s="22"/>
      <c r="N13" s="22"/>
      <c r="O13" s="22"/>
      <c r="P13" s="22"/>
      <c r="Q13" s="22"/>
      <c r="R13" s="22"/>
      <c r="S13" s="22"/>
      <c r="T13" s="22"/>
      <c r="U13" s="22"/>
    </row>
    <row r="14" spans="1:21" x14ac:dyDescent="0.35">
      <c r="B14" s="28"/>
      <c r="C14" s="28"/>
      <c r="D14" s="28"/>
      <c r="E14" s="28"/>
      <c r="F14" s="28"/>
      <c r="G14" s="28"/>
      <c r="H14" s="28"/>
      <c r="I14" s="28"/>
      <c r="J14" s="28"/>
      <c r="K14" s="28"/>
      <c r="L14" s="22"/>
      <c r="M14" s="22"/>
      <c r="N14" s="22"/>
      <c r="O14" s="22"/>
      <c r="P14" s="22"/>
      <c r="Q14" s="22"/>
      <c r="R14" s="22"/>
      <c r="S14" s="22"/>
      <c r="T14" s="22"/>
      <c r="U14" s="22"/>
    </row>
    <row r="15" spans="1:21" x14ac:dyDescent="0.35">
      <c r="B15" s="28"/>
      <c r="C15" s="28"/>
      <c r="D15" s="28"/>
      <c r="E15" s="28"/>
      <c r="F15" s="28"/>
      <c r="G15" s="28"/>
      <c r="H15" s="28"/>
      <c r="I15" s="28"/>
      <c r="J15" s="28"/>
      <c r="K15" s="28"/>
      <c r="L15" s="22"/>
      <c r="M15" s="22"/>
      <c r="N15" s="22"/>
      <c r="O15" s="22"/>
      <c r="P15" s="22"/>
      <c r="Q15" s="22"/>
      <c r="R15" s="22"/>
      <c r="S15" s="22"/>
      <c r="T15" s="22"/>
      <c r="U15" s="22"/>
    </row>
    <row r="16" spans="1:21" x14ac:dyDescent="0.35">
      <c r="B16" s="28"/>
      <c r="C16" s="28"/>
      <c r="D16" s="28"/>
      <c r="E16" s="28"/>
      <c r="F16" s="28"/>
      <c r="G16" s="28"/>
      <c r="H16" s="28"/>
      <c r="I16" s="28"/>
      <c r="J16" s="28"/>
      <c r="K16" s="28"/>
      <c r="L16" s="22"/>
      <c r="M16" s="22"/>
      <c r="N16" s="22"/>
      <c r="O16" s="22"/>
      <c r="P16" s="22"/>
      <c r="Q16" s="22"/>
      <c r="R16" s="22"/>
      <c r="S16" s="22"/>
      <c r="T16" s="22"/>
      <c r="U16" s="22"/>
    </row>
    <row r="17" spans="2:21" x14ac:dyDescent="0.35">
      <c r="B17" s="28"/>
      <c r="C17" s="28"/>
      <c r="D17" s="28"/>
      <c r="E17" s="28"/>
      <c r="F17" s="28"/>
      <c r="G17" s="28"/>
      <c r="H17" s="28"/>
      <c r="I17" s="28"/>
      <c r="J17" s="28"/>
      <c r="K17" s="28"/>
      <c r="L17" s="22"/>
      <c r="M17" s="22"/>
      <c r="N17" s="22"/>
      <c r="O17" s="22"/>
      <c r="P17" s="22"/>
      <c r="Q17" s="22"/>
      <c r="R17" s="22"/>
      <c r="S17" s="22"/>
      <c r="T17" s="22"/>
      <c r="U17" s="22"/>
    </row>
    <row r="18" spans="2:21" x14ac:dyDescent="0.35">
      <c r="B18" s="28"/>
      <c r="C18" s="28"/>
      <c r="D18" s="28"/>
      <c r="E18" s="28"/>
      <c r="F18" s="28"/>
      <c r="G18" s="28"/>
      <c r="H18" s="28"/>
      <c r="I18" s="28"/>
      <c r="J18" s="28"/>
      <c r="K18" s="28"/>
      <c r="L18" s="22"/>
      <c r="M18" s="22"/>
      <c r="N18" s="22"/>
      <c r="O18" s="22"/>
      <c r="P18" s="22"/>
      <c r="Q18" s="22"/>
      <c r="R18" s="22"/>
      <c r="S18" s="22"/>
      <c r="T18" s="22"/>
      <c r="U18" s="22"/>
    </row>
    <row r="19" spans="2:21" x14ac:dyDescent="0.35">
      <c r="B19" s="28"/>
      <c r="C19" s="28"/>
      <c r="D19" s="28"/>
      <c r="E19" s="28"/>
      <c r="F19" s="28"/>
      <c r="G19" s="28"/>
      <c r="H19" s="28"/>
      <c r="I19" s="28"/>
      <c r="J19" s="28"/>
      <c r="K19" s="28"/>
      <c r="L19" s="22"/>
      <c r="M19" s="22"/>
      <c r="N19" s="22"/>
      <c r="O19" s="22"/>
      <c r="P19" s="22"/>
      <c r="Q19" s="22"/>
      <c r="R19" s="22"/>
      <c r="S19" s="22"/>
      <c r="T19" s="22"/>
      <c r="U19" s="22"/>
    </row>
    <row r="20" spans="2:21" x14ac:dyDescent="0.35">
      <c r="B20" s="28"/>
      <c r="C20" s="28"/>
      <c r="D20" s="28"/>
      <c r="E20" s="28"/>
      <c r="F20" s="28"/>
      <c r="G20" s="28"/>
      <c r="H20" s="28"/>
      <c r="I20" s="28"/>
      <c r="J20" s="28"/>
      <c r="K20" s="28"/>
      <c r="L20" s="22"/>
      <c r="M20" s="22"/>
      <c r="N20" s="22"/>
      <c r="O20" s="22"/>
      <c r="P20" s="22"/>
      <c r="Q20" s="22"/>
      <c r="R20" s="22"/>
      <c r="S20" s="22"/>
      <c r="T20" s="22"/>
      <c r="U20" s="22"/>
    </row>
    <row r="21" spans="2:21" x14ac:dyDescent="0.35">
      <c r="B21" s="28"/>
      <c r="C21" s="28"/>
      <c r="D21" s="28"/>
      <c r="E21" s="28"/>
      <c r="F21" s="28"/>
      <c r="G21" s="28"/>
      <c r="H21" s="28"/>
      <c r="I21" s="28"/>
      <c r="J21" s="28"/>
      <c r="K21" s="28"/>
      <c r="L21" s="22"/>
      <c r="M21" s="22"/>
      <c r="N21" s="22"/>
      <c r="O21" s="22"/>
      <c r="P21" s="22"/>
      <c r="Q21" s="22"/>
      <c r="R21" s="22"/>
      <c r="S21" s="22"/>
      <c r="T21" s="22"/>
      <c r="U21" s="22"/>
    </row>
    <row r="22" spans="2:21" x14ac:dyDescent="0.35">
      <c r="B22" s="28"/>
      <c r="C22" s="28"/>
      <c r="D22" s="28"/>
      <c r="E22" s="28"/>
      <c r="F22" s="28"/>
      <c r="G22" s="28"/>
      <c r="H22" s="28"/>
      <c r="I22" s="28"/>
      <c r="J22" s="28"/>
      <c r="K22" s="28"/>
      <c r="L22" s="22"/>
      <c r="M22" s="22"/>
      <c r="N22" s="22"/>
      <c r="O22" s="22"/>
      <c r="P22" s="22"/>
      <c r="Q22" s="22"/>
      <c r="R22" s="22"/>
      <c r="S22" s="22"/>
      <c r="T22" s="22"/>
      <c r="U22" s="22"/>
    </row>
    <row r="23" spans="2:21" x14ac:dyDescent="0.35">
      <c r="B23" s="28"/>
      <c r="C23" s="28"/>
      <c r="D23" s="28"/>
      <c r="E23" s="28"/>
      <c r="F23" s="28"/>
      <c r="G23" s="28"/>
      <c r="H23" s="28"/>
      <c r="I23" s="28"/>
      <c r="J23" s="28"/>
      <c r="K23" s="28"/>
      <c r="L23" s="22"/>
      <c r="M23" s="22"/>
      <c r="N23" s="22"/>
      <c r="O23" s="22"/>
      <c r="P23" s="22"/>
      <c r="Q23" s="22"/>
      <c r="R23" s="22"/>
      <c r="S23" s="22"/>
      <c r="T23" s="22"/>
      <c r="U23" s="22"/>
    </row>
    <row r="24" spans="2:21" x14ac:dyDescent="0.35">
      <c r="B24" s="28"/>
      <c r="C24" s="28"/>
      <c r="D24" s="28"/>
      <c r="E24" s="28"/>
      <c r="F24" s="28"/>
      <c r="G24" s="28"/>
      <c r="H24" s="28"/>
      <c r="I24" s="28"/>
      <c r="J24" s="28"/>
      <c r="K24" s="28"/>
      <c r="L24" s="22"/>
      <c r="M24" s="22"/>
      <c r="N24" s="22"/>
      <c r="O24" s="22"/>
      <c r="P24" s="22"/>
      <c r="Q24" s="22"/>
      <c r="R24" s="22"/>
      <c r="S24" s="22"/>
      <c r="T24" s="22"/>
      <c r="U24" s="22"/>
    </row>
    <row r="25" spans="2:21" x14ac:dyDescent="0.35">
      <c r="B25" s="28"/>
      <c r="C25" s="28"/>
      <c r="D25" s="28"/>
      <c r="E25" s="28"/>
      <c r="F25" s="28"/>
      <c r="G25" s="28"/>
      <c r="H25" s="28"/>
      <c r="I25" s="28"/>
      <c r="J25" s="28"/>
      <c r="K25" s="28"/>
      <c r="L25" s="22"/>
      <c r="M25" s="22"/>
      <c r="N25" s="22"/>
      <c r="O25" s="22"/>
      <c r="P25" s="22"/>
      <c r="Q25" s="22"/>
      <c r="R25" s="22"/>
      <c r="S25" s="22"/>
      <c r="T25" s="22"/>
      <c r="U25" s="22"/>
    </row>
    <row r="26" spans="2:21" x14ac:dyDescent="0.35">
      <c r="B26" s="28"/>
      <c r="C26" s="28"/>
      <c r="D26" s="28"/>
      <c r="E26" s="28"/>
      <c r="F26" s="28"/>
      <c r="G26" s="28"/>
      <c r="H26" s="28"/>
      <c r="I26" s="28"/>
      <c r="J26" s="28"/>
      <c r="K26" s="28"/>
      <c r="L26" s="22"/>
      <c r="M26" s="22"/>
      <c r="N26" s="22"/>
      <c r="O26" s="22"/>
      <c r="P26" s="22"/>
      <c r="Q26" s="22"/>
      <c r="R26" s="22"/>
      <c r="S26" s="22"/>
      <c r="T26" s="22"/>
      <c r="U26" s="22"/>
    </row>
    <row r="28" spans="2:21" ht="15.5" x14ac:dyDescent="0.35">
      <c r="B28" s="23" t="s">
        <v>115</v>
      </c>
      <c r="G28" s="23" t="s">
        <v>114</v>
      </c>
    </row>
    <row r="29" spans="2:21" ht="29" x14ac:dyDescent="0.35">
      <c r="B29" s="20" t="s">
        <v>113</v>
      </c>
      <c r="C29" s="24" t="s">
        <v>116</v>
      </c>
      <c r="G29" s="20" t="s">
        <v>113</v>
      </c>
      <c r="H29" s="10" t="s">
        <v>112</v>
      </c>
      <c r="I29" s="10" t="s">
        <v>111</v>
      </c>
    </row>
    <row r="30" spans="2:21" ht="28" x14ac:dyDescent="0.35">
      <c r="B30" s="21" t="s">
        <v>117</v>
      </c>
      <c r="C30" s="25">
        <v>9.0999999999999998E-2</v>
      </c>
      <c r="G30" s="21" t="s">
        <v>117</v>
      </c>
      <c r="H30" s="19">
        <v>2E-3</v>
      </c>
      <c r="I30" s="19">
        <v>1.2E-2</v>
      </c>
    </row>
    <row r="31" spans="2:21" ht="41" x14ac:dyDescent="0.35">
      <c r="B31" s="21" t="s">
        <v>118</v>
      </c>
      <c r="C31" s="25">
        <v>8.8999999999999996E-2</v>
      </c>
      <c r="G31" s="21" t="s">
        <v>118</v>
      </c>
      <c r="H31" s="19">
        <v>6.0000000000000001E-3</v>
      </c>
      <c r="I31" s="19">
        <v>2.9000000000000001E-2</v>
      </c>
    </row>
    <row r="32" spans="2:21" x14ac:dyDescent="0.35">
      <c r="B32" t="s">
        <v>119</v>
      </c>
      <c r="G32" t="s">
        <v>120</v>
      </c>
      <c r="H32" s="19"/>
      <c r="I32" s="19"/>
    </row>
  </sheetData>
  <mergeCells count="1">
    <mergeCell ref="B11:K26"/>
  </mergeCells>
  <hyperlinks>
    <hyperlink ref="B3" r:id="rId1" xr:uid="{C91E694E-C69D-4E10-BE25-48844E1D3E2C}"/>
  </hyperlinks>
  <pageMargins left="0.7" right="0.7" top="0.75" bottom="0.75" header="0.3" footer="0.3"/>
  <pageSetup orientation="portrait" horizontalDpi="1200" verticalDpi="1200"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D6D56-71E4-4804-9CBE-8D72669F3102}">
  <dimension ref="A1:U26"/>
  <sheetViews>
    <sheetView topLeftCell="A16" zoomScale="70" zoomScaleNormal="70" workbookViewId="0">
      <selection activeCell="W12" sqref="W12"/>
    </sheetView>
  </sheetViews>
  <sheetFormatPr defaultRowHeight="14.5" x14ac:dyDescent="0.35"/>
  <sheetData>
    <row r="1" spans="1:12" ht="21" x14ac:dyDescent="0.5">
      <c r="A1" s="17" t="s">
        <v>85</v>
      </c>
    </row>
    <row r="5" spans="1:12" x14ac:dyDescent="0.35">
      <c r="B5" t="s">
        <v>91</v>
      </c>
    </row>
    <row r="6" spans="1:12" x14ac:dyDescent="0.35">
      <c r="C6" t="s">
        <v>92</v>
      </c>
    </row>
    <row r="7" spans="1:12" x14ac:dyDescent="0.35">
      <c r="C7" t="s">
        <v>93</v>
      </c>
      <c r="L7" t="s">
        <v>97</v>
      </c>
    </row>
    <row r="8" spans="1:12" x14ac:dyDescent="0.35">
      <c r="L8" s="18" t="s">
        <v>98</v>
      </c>
    </row>
    <row r="9" spans="1:12" x14ac:dyDescent="0.35">
      <c r="B9" t="s">
        <v>94</v>
      </c>
    </row>
    <row r="10" spans="1:12" x14ac:dyDescent="0.35">
      <c r="C10" t="s">
        <v>95</v>
      </c>
    </row>
    <row r="11" spans="1:12" x14ac:dyDescent="0.35">
      <c r="C11" t="s">
        <v>96</v>
      </c>
    </row>
    <row r="15" spans="1:12" x14ac:dyDescent="0.35">
      <c r="B15" t="s">
        <v>99</v>
      </c>
    </row>
    <row r="18" spans="2:21" x14ac:dyDescent="0.35">
      <c r="B18" t="s">
        <v>100</v>
      </c>
    </row>
    <row r="19" spans="2:21" x14ac:dyDescent="0.35">
      <c r="B19" t="s">
        <v>101</v>
      </c>
    </row>
    <row r="22" spans="2:21" x14ac:dyDescent="0.35">
      <c r="B22" t="s">
        <v>102</v>
      </c>
    </row>
    <row r="23" spans="2:21" x14ac:dyDescent="0.35">
      <c r="B23" t="s">
        <v>103</v>
      </c>
    </row>
    <row r="24" spans="2:21" x14ac:dyDescent="0.35">
      <c r="B24" t="s">
        <v>104</v>
      </c>
    </row>
    <row r="26" spans="2:21" ht="409.5" customHeight="1" x14ac:dyDescent="0.35">
      <c r="B26" s="27" t="s">
        <v>125</v>
      </c>
      <c r="C26" s="27"/>
      <c r="D26" s="27"/>
      <c r="E26" s="27"/>
      <c r="F26" s="27"/>
      <c r="G26" s="27"/>
      <c r="H26" s="27"/>
      <c r="I26" s="27"/>
      <c r="J26" s="27"/>
      <c r="K26" s="27"/>
      <c r="L26" s="27"/>
      <c r="M26" s="27"/>
      <c r="N26" s="27"/>
      <c r="O26" s="27"/>
      <c r="P26" s="27"/>
      <c r="Q26" s="27"/>
      <c r="R26" s="27"/>
      <c r="S26" s="27"/>
      <c r="T26" s="27"/>
      <c r="U26" s="27"/>
    </row>
  </sheetData>
  <mergeCells count="1">
    <mergeCell ref="B26:U26"/>
  </mergeCells>
  <hyperlinks>
    <hyperlink ref="L8" r:id="rId1" xr:uid="{03C66A27-E5D3-4541-A009-2649209504A5}"/>
  </hyperlinks>
  <pageMargins left="0.7" right="0.7" top="0.75" bottom="0.75" header="0.3" footer="0.3"/>
  <pageSetup orientation="portrait"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E07AE-DFF2-441C-9DBB-998CA2A7525C}">
  <dimension ref="A1:B8"/>
  <sheetViews>
    <sheetView tabSelected="1" workbookViewId="0">
      <selection activeCell="B6" sqref="B6"/>
    </sheetView>
  </sheetViews>
  <sheetFormatPr defaultRowHeight="14.5" x14ac:dyDescent="0.35"/>
  <cols>
    <col min="2" max="2" width="172.7265625" customWidth="1"/>
  </cols>
  <sheetData>
    <row r="1" spans="1:2" ht="21" x14ac:dyDescent="0.5">
      <c r="A1" s="17" t="s">
        <v>86</v>
      </c>
    </row>
    <row r="5" spans="1:2" x14ac:dyDescent="0.35">
      <c r="B5" t="s">
        <v>105</v>
      </c>
    </row>
    <row r="6" spans="1:2" ht="58" x14ac:dyDescent="0.35">
      <c r="B6" s="10" t="s">
        <v>121</v>
      </c>
    </row>
    <row r="8" spans="1:2" ht="159.5" x14ac:dyDescent="0.35">
      <c r="B8" s="26"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Trends</vt:lpstr>
      <vt:lpstr>Population</vt:lpstr>
      <vt:lpstr>Scenario Development</vt:lpstr>
      <vt:lpstr>1</vt:lpstr>
      <vt:lpstr>3</vt:lpstr>
      <vt:lpstr>5</vt:lpstr>
      <vt:lpstr>6</vt:lpstr>
      <vt:lpst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Lamm</dc:creator>
  <cp:lastModifiedBy>Christopher Lamm</cp:lastModifiedBy>
  <dcterms:created xsi:type="dcterms:W3CDTF">2021-11-01T14:57:48Z</dcterms:created>
  <dcterms:modified xsi:type="dcterms:W3CDTF">2022-06-15T13:22:10Z</dcterms:modified>
</cp:coreProperties>
</file>